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5140" windowHeight="8180" activeTab="1"/>
  </bookViews>
  <sheets>
    <sheet name="Main" sheetId="1" r:id="rId1"/>
    <sheet name="Means" sheetId="2" r:id="rId2"/>
    <sheet name="Binary" sheetId="3" r:id="rId3"/>
    <sheet name="Correlations" sheetId="4" r:id="rId4"/>
  </sheets>
  <definedNames/>
  <calcPr fullCalcOnLoad="1"/>
</workbook>
</file>

<file path=xl/sharedStrings.xml><?xml version="1.0" encoding="utf-8"?>
<sst xmlns="http://schemas.openxmlformats.org/spreadsheetml/2006/main" count="837" uniqueCount="253">
  <si>
    <t>Study</t>
  </si>
  <si>
    <t>Treated</t>
  </si>
  <si>
    <t>Mean</t>
  </si>
  <si>
    <t>SD</t>
  </si>
  <si>
    <t>n</t>
  </si>
  <si>
    <t>Control</t>
  </si>
  <si>
    <t>D</t>
  </si>
  <si>
    <t>d</t>
  </si>
  <si>
    <t>g</t>
  </si>
  <si>
    <t>Carroll</t>
  </si>
  <si>
    <t>Grant</t>
  </si>
  <si>
    <t>Peck</t>
  </si>
  <si>
    <t>Donat</t>
  </si>
  <si>
    <t>Stewart</t>
  </si>
  <si>
    <t>Young</t>
  </si>
  <si>
    <t>J</t>
  </si>
  <si>
    <t>Y</t>
  </si>
  <si>
    <t>W</t>
  </si>
  <si>
    <t>WY</t>
  </si>
  <si>
    <t>M</t>
  </si>
  <si>
    <t>Z</t>
  </si>
  <si>
    <t>Q</t>
  </si>
  <si>
    <t>df</t>
  </si>
  <si>
    <t>C</t>
  </si>
  <si>
    <t>p(Q)</t>
  </si>
  <si>
    <t>T</t>
  </si>
  <si>
    <t>A</t>
  </si>
  <si>
    <t>B</t>
  </si>
  <si>
    <t>L</t>
  </si>
  <si>
    <t>U</t>
  </si>
  <si>
    <t>M*</t>
  </si>
  <si>
    <t>Events</t>
  </si>
  <si>
    <t>Non-Events</t>
  </si>
  <si>
    <t>OR</t>
  </si>
  <si>
    <t>lnOR</t>
  </si>
  <si>
    <t>VlnOR</t>
  </si>
  <si>
    <t>Saint</t>
  </si>
  <si>
    <t>Kelly</t>
  </si>
  <si>
    <t>Pilbeam</t>
  </si>
  <si>
    <t>Lane</t>
  </si>
  <si>
    <t>Wright</t>
  </si>
  <si>
    <t>Day</t>
  </si>
  <si>
    <t>Fonda</t>
  </si>
  <si>
    <t>Newman</t>
  </si>
  <si>
    <t>Granger</t>
  </si>
  <si>
    <t>Milland</t>
  </si>
  <si>
    <t>Finch</t>
  </si>
  <si>
    <t>Vz</t>
  </si>
  <si>
    <t>V</t>
  </si>
  <si>
    <t>N</t>
  </si>
  <si>
    <r>
      <t xml:space="preserve">Compute </t>
    </r>
    <r>
      <rPr>
        <i/>
        <sz val="11"/>
        <color indexed="8"/>
        <rFont val="Calibri"/>
        <family val="2"/>
      </rPr>
      <t>g</t>
    </r>
    <r>
      <rPr>
        <sz val="11"/>
        <color theme="1"/>
        <rFont val="Calibri"/>
        <family val="2"/>
      </rPr>
      <t xml:space="preserve"> and </t>
    </r>
    <r>
      <rPr>
        <i/>
        <sz val="11"/>
        <color indexed="8"/>
        <rFont val="Calibri"/>
        <family val="2"/>
      </rPr>
      <t>V</t>
    </r>
    <r>
      <rPr>
        <i/>
        <vertAlign val="subscript"/>
        <sz val="11"/>
        <color indexed="8"/>
        <rFont val="Calibri"/>
        <family val="2"/>
      </rPr>
      <t>g</t>
    </r>
  </si>
  <si>
    <r>
      <rPr>
        <i/>
        <sz val="11"/>
        <color indexed="8"/>
        <rFont val="Calibri"/>
        <family val="2"/>
      </rPr>
      <t>S</t>
    </r>
    <r>
      <rPr>
        <i/>
        <vertAlign val="subscript"/>
        <sz val="11"/>
        <color indexed="8"/>
        <rFont val="Calibri"/>
        <family val="2"/>
      </rPr>
      <t>within</t>
    </r>
  </si>
  <si>
    <r>
      <rPr>
        <i/>
        <sz val="11"/>
        <color indexed="8"/>
        <rFont val="Calibri"/>
        <family val="2"/>
      </rPr>
      <t>V</t>
    </r>
    <r>
      <rPr>
        <i/>
        <vertAlign val="subscript"/>
        <sz val="11"/>
        <color indexed="8"/>
        <rFont val="Calibri"/>
        <family val="2"/>
      </rPr>
      <t>d</t>
    </r>
  </si>
  <si>
    <r>
      <rPr>
        <i/>
        <sz val="11"/>
        <color indexed="8"/>
        <rFont val="Calibri"/>
        <family val="2"/>
      </rPr>
      <t>V</t>
    </r>
    <r>
      <rPr>
        <i/>
        <vertAlign val="subscript"/>
        <sz val="11"/>
        <color indexed="8"/>
        <rFont val="Calibri"/>
        <family val="2"/>
      </rPr>
      <t>g</t>
    </r>
  </si>
  <si>
    <r>
      <rPr>
        <i/>
        <sz val="11"/>
        <color indexed="8"/>
        <rFont val="Calibri"/>
        <family val="2"/>
      </rPr>
      <t>WY</t>
    </r>
    <r>
      <rPr>
        <i/>
        <vertAlign val="superscript"/>
        <sz val="11"/>
        <color indexed="8"/>
        <rFont val="Calibri"/>
        <family val="2"/>
      </rPr>
      <t>2</t>
    </r>
  </si>
  <si>
    <r>
      <rPr>
        <i/>
        <sz val="11"/>
        <color indexed="8"/>
        <rFont val="Calibri"/>
        <family val="2"/>
      </rPr>
      <t>W</t>
    </r>
    <r>
      <rPr>
        <i/>
        <vertAlign val="superscript"/>
        <sz val="11"/>
        <color indexed="8"/>
        <rFont val="Calibri"/>
        <family val="2"/>
      </rPr>
      <t>2</t>
    </r>
  </si>
  <si>
    <t>Effect size</t>
  </si>
  <si>
    <t>Variance within</t>
  </si>
  <si>
    <t>Weight</t>
  </si>
  <si>
    <t>Calculated quantities</t>
  </si>
  <si>
    <t>Mean effect</t>
  </si>
  <si>
    <t>Variance</t>
  </si>
  <si>
    <t>Standard error</t>
  </si>
  <si>
    <t>Lower limit (95%)</t>
  </si>
  <si>
    <t>Upper limit (95%)</t>
  </si>
  <si>
    <t>Z for test of null</t>
  </si>
  <si>
    <t>Q statistic</t>
  </si>
  <si>
    <t>degrees of freedom</t>
  </si>
  <si>
    <r>
      <t>V</t>
    </r>
    <r>
      <rPr>
        <i/>
        <vertAlign val="subscript"/>
        <sz val="11"/>
        <color indexed="8"/>
        <rFont val="Calibri"/>
        <family val="2"/>
      </rPr>
      <t>M</t>
    </r>
  </si>
  <si>
    <r>
      <t>Se</t>
    </r>
    <r>
      <rPr>
        <i/>
        <vertAlign val="subscript"/>
        <sz val="11"/>
        <color indexed="8"/>
        <rFont val="Calibri"/>
        <family val="2"/>
      </rPr>
      <t>M</t>
    </r>
  </si>
  <si>
    <r>
      <t>LL</t>
    </r>
    <r>
      <rPr>
        <i/>
        <vertAlign val="subscript"/>
        <sz val="11"/>
        <color indexed="8"/>
        <rFont val="Calibri"/>
        <family val="2"/>
      </rPr>
      <t>M</t>
    </r>
  </si>
  <si>
    <r>
      <t>UL</t>
    </r>
    <r>
      <rPr>
        <i/>
        <vertAlign val="subscript"/>
        <sz val="11"/>
        <color indexed="8"/>
        <rFont val="Calibri"/>
        <family val="2"/>
      </rPr>
      <t>M</t>
    </r>
  </si>
  <si>
    <r>
      <t>T</t>
    </r>
    <r>
      <rPr>
        <i/>
        <vertAlign val="superscript"/>
        <sz val="11"/>
        <color indexed="8"/>
        <rFont val="Calibri"/>
        <family val="2"/>
      </rPr>
      <t>2</t>
    </r>
  </si>
  <si>
    <r>
      <t>V</t>
    </r>
    <r>
      <rPr>
        <i/>
        <vertAlign val="subscript"/>
        <sz val="11"/>
        <color indexed="8"/>
        <rFont val="Calibri"/>
        <family val="2"/>
      </rPr>
      <t>Y</t>
    </r>
  </si>
  <si>
    <r>
      <t>V</t>
    </r>
    <r>
      <rPr>
        <i/>
        <vertAlign val="subscript"/>
        <sz val="11"/>
        <color indexed="8"/>
        <rFont val="Calibri"/>
        <family val="2"/>
      </rPr>
      <t>Total</t>
    </r>
  </si>
  <si>
    <t>Mean and precision</t>
  </si>
  <si>
    <t>Confidence intervals</t>
  </si>
  <si>
    <t>Test of the null that M=0</t>
  </si>
  <si>
    <t>p-value (1-tailed)</t>
  </si>
  <si>
    <t>p-value (2-tailed)</t>
  </si>
  <si>
    <t>Heterogeneity statistics</t>
  </si>
  <si>
    <t>Formula</t>
  </si>
  <si>
    <r>
      <t>p</t>
    </r>
    <r>
      <rPr>
        <i/>
        <vertAlign val="subscript"/>
        <sz val="11"/>
        <color indexed="8"/>
        <rFont val="Calibri"/>
        <family val="2"/>
      </rPr>
      <t>1</t>
    </r>
  </si>
  <si>
    <r>
      <t>p</t>
    </r>
    <r>
      <rPr>
        <i/>
        <vertAlign val="subscript"/>
        <sz val="11"/>
        <color indexed="8"/>
        <rFont val="Calibri"/>
        <family val="2"/>
      </rPr>
      <t>2</t>
    </r>
  </si>
  <si>
    <t>Variance Between</t>
  </si>
  <si>
    <t>Variance Within</t>
  </si>
  <si>
    <t>Variance Total</t>
  </si>
  <si>
    <t>The heterogeneity statistics are computed for the fixed-effect weights only</t>
  </si>
  <si>
    <t>12.10</t>
  </si>
  <si>
    <t>Formula 4.2</t>
  </si>
  <si>
    <t>Formula 4.19</t>
  </si>
  <si>
    <t>Formula 4.18</t>
  </si>
  <si>
    <t>Formula 4.20</t>
  </si>
  <si>
    <t>Formula 4.22</t>
  </si>
  <si>
    <t>Formula 4.23</t>
  </si>
  <si>
    <t>Formula 4.24</t>
  </si>
  <si>
    <r>
      <t>V</t>
    </r>
    <r>
      <rPr>
        <i/>
        <vertAlign val="subscript"/>
        <sz val="11"/>
        <color indexed="8"/>
        <rFont val="Calibri"/>
        <family val="2"/>
      </rPr>
      <t>Y</t>
    </r>
  </si>
  <si>
    <r>
      <t>WY</t>
    </r>
    <r>
      <rPr>
        <i/>
        <vertAlign val="superscript"/>
        <sz val="11"/>
        <color indexed="8"/>
        <rFont val="Calibri"/>
        <family val="2"/>
      </rPr>
      <t>2</t>
    </r>
  </si>
  <si>
    <r>
      <t>W</t>
    </r>
    <r>
      <rPr>
        <i/>
        <vertAlign val="superscript"/>
        <sz val="11"/>
        <color indexed="8"/>
        <rFont val="Calibri"/>
        <family val="2"/>
      </rPr>
      <t>2</t>
    </r>
  </si>
  <si>
    <r>
      <t>W</t>
    </r>
    <r>
      <rPr>
        <i/>
        <vertAlign val="superscript"/>
        <sz val="11"/>
        <color indexed="8"/>
        <rFont val="Calibri"/>
        <family val="2"/>
      </rPr>
      <t>3</t>
    </r>
  </si>
  <si>
    <r>
      <t>(Y-M)</t>
    </r>
    <r>
      <rPr>
        <i/>
        <vertAlign val="superscript"/>
        <sz val="11"/>
        <color indexed="8"/>
        <rFont val="Calibri"/>
        <family val="2"/>
      </rPr>
      <t>2</t>
    </r>
  </si>
  <si>
    <r>
      <t>W(Y-M)</t>
    </r>
    <r>
      <rPr>
        <i/>
        <vertAlign val="superscript"/>
        <sz val="11"/>
        <color indexed="8"/>
        <rFont val="Calibri"/>
        <family val="2"/>
      </rPr>
      <t>2</t>
    </r>
  </si>
  <si>
    <t>Step 1</t>
  </si>
  <si>
    <t>Step 2</t>
  </si>
  <si>
    <t>Step 3</t>
  </si>
  <si>
    <t>Step 4</t>
  </si>
  <si>
    <t>Step 5</t>
  </si>
  <si>
    <t>W*</t>
  </si>
  <si>
    <t>W*Y</t>
  </si>
  <si>
    <r>
      <t>V</t>
    </r>
    <r>
      <rPr>
        <i/>
        <vertAlign val="subscript"/>
        <sz val="11"/>
        <color indexed="8"/>
        <rFont val="Calibri"/>
        <family val="2"/>
      </rPr>
      <t>M*</t>
    </r>
  </si>
  <si>
    <r>
      <t>Se</t>
    </r>
    <r>
      <rPr>
        <i/>
        <vertAlign val="subscript"/>
        <sz val="11"/>
        <color indexed="8"/>
        <rFont val="Calibri"/>
        <family val="2"/>
      </rPr>
      <t>M*</t>
    </r>
  </si>
  <si>
    <r>
      <t>LL</t>
    </r>
    <r>
      <rPr>
        <i/>
        <vertAlign val="subscript"/>
        <sz val="11"/>
        <color indexed="8"/>
        <rFont val="Calibri"/>
        <family val="2"/>
      </rPr>
      <t>M*</t>
    </r>
  </si>
  <si>
    <r>
      <t>UL</t>
    </r>
    <r>
      <rPr>
        <i/>
        <vertAlign val="subscript"/>
        <sz val="11"/>
        <color indexed="8"/>
        <rFont val="Calibri"/>
        <family val="2"/>
      </rPr>
      <t>M*</t>
    </r>
  </si>
  <si>
    <t>Z*</t>
  </si>
  <si>
    <r>
      <t>p*</t>
    </r>
    <r>
      <rPr>
        <i/>
        <vertAlign val="subscript"/>
        <sz val="11"/>
        <color indexed="8"/>
        <rFont val="Calibri"/>
        <family val="2"/>
      </rPr>
      <t>1</t>
    </r>
  </si>
  <si>
    <r>
      <t>p*</t>
    </r>
    <r>
      <rPr>
        <i/>
        <vertAlign val="subscript"/>
        <sz val="11"/>
        <color indexed="8"/>
        <rFont val="Calibri"/>
        <family val="2"/>
      </rPr>
      <t>2</t>
    </r>
  </si>
  <si>
    <t>Basic statistics</t>
  </si>
  <si>
    <t>Weighted sum of squares</t>
  </si>
  <si>
    <t>Degrees of freedom</t>
  </si>
  <si>
    <t>Scaling factor</t>
  </si>
  <si>
    <t>Between-studies variance</t>
  </si>
  <si>
    <t>Between-studies standard deviation</t>
  </si>
  <si>
    <t>Tau and related statistics</t>
  </si>
  <si>
    <t>Prediction intervals</t>
  </si>
  <si>
    <t>Mean effect (random effect weights)</t>
  </si>
  <si>
    <t>Tau-squared</t>
  </si>
  <si>
    <t>Prediction interval (95%) lower limit</t>
  </si>
  <si>
    <t>Prediction interval (95%) upper limit</t>
  </si>
  <si>
    <r>
      <rPr>
        <i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 xml:space="preserve">-value for </t>
    </r>
    <r>
      <rPr>
        <i/>
        <sz val="11"/>
        <color indexed="8"/>
        <rFont val="Calibri"/>
        <family val="2"/>
      </rPr>
      <t>Q</t>
    </r>
  </si>
  <si>
    <r>
      <t>T</t>
    </r>
    <r>
      <rPr>
        <i/>
        <vertAlign val="superscript"/>
        <sz val="11"/>
        <color indexed="8"/>
        <rFont val="Calibri"/>
        <family val="2"/>
      </rPr>
      <t>2</t>
    </r>
  </si>
  <si>
    <r>
      <t>V</t>
    </r>
    <r>
      <rPr>
        <i/>
        <vertAlign val="subscript"/>
        <sz val="11"/>
        <color indexed="8"/>
        <rFont val="Calibri"/>
        <family val="2"/>
      </rPr>
      <t>T</t>
    </r>
    <r>
      <rPr>
        <i/>
        <vertAlign val="superscript"/>
        <sz val="11"/>
        <color indexed="8"/>
        <rFont val="Calibri"/>
        <family val="2"/>
      </rPr>
      <t>2</t>
    </r>
  </si>
  <si>
    <r>
      <t>SE</t>
    </r>
    <r>
      <rPr>
        <i/>
        <vertAlign val="subscript"/>
        <sz val="11"/>
        <color indexed="8"/>
        <rFont val="Calibri"/>
        <family val="2"/>
      </rPr>
      <t>T</t>
    </r>
    <r>
      <rPr>
        <i/>
        <vertAlign val="superscript"/>
        <sz val="11"/>
        <color indexed="8"/>
        <rFont val="Calibri"/>
        <family val="2"/>
      </rPr>
      <t>2</t>
    </r>
  </si>
  <si>
    <r>
      <t>LL</t>
    </r>
    <r>
      <rPr>
        <i/>
        <vertAlign val="subscript"/>
        <sz val="11"/>
        <color indexed="8"/>
        <rFont val="Calibri"/>
        <family val="2"/>
      </rPr>
      <t>T</t>
    </r>
    <r>
      <rPr>
        <i/>
        <vertAlign val="superscript"/>
        <sz val="11"/>
        <color indexed="8"/>
        <rFont val="Calibri"/>
        <family val="2"/>
      </rPr>
      <t>2</t>
    </r>
  </si>
  <si>
    <r>
      <t>UL</t>
    </r>
    <r>
      <rPr>
        <i/>
        <vertAlign val="subscript"/>
        <sz val="11"/>
        <color indexed="8"/>
        <rFont val="Calibri"/>
        <family val="2"/>
      </rPr>
      <t>T</t>
    </r>
    <r>
      <rPr>
        <i/>
        <vertAlign val="superscript"/>
        <sz val="11"/>
        <color indexed="8"/>
        <rFont val="Calibri"/>
        <family val="2"/>
      </rPr>
      <t>2</t>
    </r>
  </si>
  <si>
    <r>
      <t>LL</t>
    </r>
    <r>
      <rPr>
        <i/>
        <vertAlign val="subscript"/>
        <sz val="11"/>
        <color indexed="8"/>
        <rFont val="Calibri"/>
        <family val="2"/>
      </rPr>
      <t>T</t>
    </r>
  </si>
  <si>
    <r>
      <t>UL</t>
    </r>
    <r>
      <rPr>
        <i/>
        <vertAlign val="subscript"/>
        <sz val="11"/>
        <color indexed="8"/>
        <rFont val="Calibri"/>
        <family val="2"/>
      </rPr>
      <t>T</t>
    </r>
  </si>
  <si>
    <r>
      <t>I</t>
    </r>
    <r>
      <rPr>
        <i/>
        <vertAlign val="superscript"/>
        <sz val="11"/>
        <color indexed="8"/>
        <rFont val="Calibri"/>
        <family val="2"/>
      </rPr>
      <t>2</t>
    </r>
  </si>
  <si>
    <r>
      <t>LL</t>
    </r>
    <r>
      <rPr>
        <i/>
        <vertAlign val="subscript"/>
        <sz val="11"/>
        <color indexed="8"/>
        <rFont val="Calibri"/>
        <family val="2"/>
      </rPr>
      <t>I</t>
    </r>
    <r>
      <rPr>
        <i/>
        <vertAlign val="superscript"/>
        <sz val="11"/>
        <color indexed="8"/>
        <rFont val="Calibri"/>
        <family val="2"/>
      </rPr>
      <t>2</t>
    </r>
  </si>
  <si>
    <r>
      <t>UL</t>
    </r>
    <r>
      <rPr>
        <i/>
        <vertAlign val="subscript"/>
        <sz val="11"/>
        <color indexed="8"/>
        <rFont val="Calibri"/>
        <family val="2"/>
      </rPr>
      <t>I</t>
    </r>
    <r>
      <rPr>
        <i/>
        <vertAlign val="superscript"/>
        <sz val="11"/>
        <color indexed="8"/>
        <rFont val="Calibri"/>
        <family val="2"/>
      </rPr>
      <t>2</t>
    </r>
  </si>
  <si>
    <r>
      <t>t</t>
    </r>
    <r>
      <rPr>
        <i/>
        <vertAlign val="subscript"/>
        <sz val="11"/>
        <color indexed="8"/>
        <rFont val="Calibri"/>
        <family val="2"/>
      </rPr>
      <t>Crit</t>
    </r>
  </si>
  <si>
    <r>
      <t>V</t>
    </r>
    <r>
      <rPr>
        <i/>
        <vertAlign val="subscript"/>
        <sz val="11"/>
        <color indexed="8"/>
        <rFont val="Calibri"/>
        <family val="2"/>
      </rPr>
      <t>M*</t>
    </r>
  </si>
  <si>
    <r>
      <t>LL</t>
    </r>
    <r>
      <rPr>
        <i/>
        <vertAlign val="subscript"/>
        <sz val="11"/>
        <color indexed="8"/>
        <rFont val="Calibri"/>
        <family val="2"/>
      </rPr>
      <t>Pred</t>
    </r>
  </si>
  <si>
    <r>
      <t>UL</t>
    </r>
    <r>
      <rPr>
        <i/>
        <vertAlign val="subscript"/>
        <sz val="11"/>
        <color indexed="8"/>
        <rFont val="Calibri"/>
        <family val="2"/>
      </rPr>
      <t>Pred</t>
    </r>
  </si>
  <si>
    <t>Step 6</t>
  </si>
  <si>
    <t>Step 8</t>
  </si>
  <si>
    <t>Step 7</t>
  </si>
  <si>
    <r>
      <rPr>
        <b/>
        <i/>
        <sz val="11"/>
        <color indexed="8"/>
        <rFont val="Calibri"/>
        <family val="2"/>
      </rPr>
      <t>T</t>
    </r>
    <r>
      <rPr>
        <b/>
        <i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and related statistics</t>
    </r>
  </si>
  <si>
    <r>
      <t xml:space="preserve">Variance of </t>
    </r>
    <r>
      <rPr>
        <i/>
        <sz val="11"/>
        <color indexed="8"/>
        <rFont val="Calibri"/>
        <family val="2"/>
      </rPr>
      <t>T</t>
    </r>
    <r>
      <rPr>
        <i/>
        <vertAlign val="superscript"/>
        <sz val="11"/>
        <color indexed="8"/>
        <rFont val="Calibri"/>
        <family val="2"/>
      </rPr>
      <t>2</t>
    </r>
  </si>
  <si>
    <r>
      <t xml:space="preserve">Standard error of </t>
    </r>
    <r>
      <rPr>
        <i/>
        <sz val="11"/>
        <color indexed="8"/>
        <rFont val="Calibri"/>
        <family val="2"/>
      </rPr>
      <t>T</t>
    </r>
    <r>
      <rPr>
        <i/>
        <vertAlign val="superscript"/>
        <sz val="11"/>
        <color indexed="8"/>
        <rFont val="Calibri"/>
        <family val="2"/>
      </rPr>
      <t>2</t>
    </r>
  </si>
  <si>
    <r>
      <t xml:space="preserve">Intermediate value </t>
    </r>
    <r>
      <rPr>
        <i/>
        <sz val="11"/>
        <color indexed="8"/>
        <rFont val="Calibri"/>
        <family val="2"/>
      </rPr>
      <t>B</t>
    </r>
  </si>
  <si>
    <r>
      <t xml:space="preserve">Intermediate value </t>
    </r>
    <r>
      <rPr>
        <i/>
        <sz val="11"/>
        <color indexed="8"/>
        <rFont val="Calibri"/>
        <family val="2"/>
      </rPr>
      <t>L</t>
    </r>
  </si>
  <si>
    <r>
      <t xml:space="preserve">Intermediate value </t>
    </r>
    <r>
      <rPr>
        <i/>
        <sz val="11"/>
        <color indexed="8"/>
        <rFont val="Calibri"/>
        <family val="2"/>
      </rPr>
      <t>U</t>
    </r>
  </si>
  <si>
    <r>
      <t xml:space="preserve">Lower limit of </t>
    </r>
    <r>
      <rPr>
        <i/>
        <sz val="11"/>
        <color indexed="8"/>
        <rFont val="Calibri"/>
        <family val="2"/>
      </rPr>
      <t>T</t>
    </r>
    <r>
      <rPr>
        <i/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(95%)</t>
    </r>
  </si>
  <si>
    <r>
      <t xml:space="preserve">Upper limit of </t>
    </r>
    <r>
      <rPr>
        <i/>
        <sz val="11"/>
        <color indexed="8"/>
        <rFont val="Calibri"/>
        <family val="2"/>
      </rPr>
      <t>T</t>
    </r>
    <r>
      <rPr>
        <i/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(95%)</t>
    </r>
  </si>
  <si>
    <r>
      <t xml:space="preserve">Lower limit of </t>
    </r>
    <r>
      <rPr>
        <i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 xml:space="preserve"> (95%)</t>
    </r>
  </si>
  <si>
    <r>
      <t xml:space="preserve">Upper limit of </t>
    </r>
    <r>
      <rPr>
        <i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>(95%)</t>
    </r>
  </si>
  <si>
    <r>
      <rPr>
        <b/>
        <i/>
        <sz val="11"/>
        <color indexed="8"/>
        <rFont val="Calibri"/>
        <family val="2"/>
      </rPr>
      <t>I</t>
    </r>
    <r>
      <rPr>
        <b/>
        <i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and related statistics</t>
    </r>
  </si>
  <si>
    <r>
      <rPr>
        <i/>
        <sz val="11"/>
        <color indexed="8"/>
        <rFont val="Calibri"/>
        <family val="2"/>
      </rPr>
      <t>I</t>
    </r>
    <r>
      <rPr>
        <i/>
        <vertAlign val="superscript"/>
        <sz val="11"/>
        <color indexed="8"/>
        <rFont val="Calibri"/>
        <family val="2"/>
      </rPr>
      <t>2</t>
    </r>
  </si>
  <si>
    <r>
      <t xml:space="preserve">Lower limit of </t>
    </r>
    <r>
      <rPr>
        <i/>
        <sz val="11"/>
        <color indexed="8"/>
        <rFont val="Calibri"/>
        <family val="2"/>
      </rPr>
      <t>I</t>
    </r>
    <r>
      <rPr>
        <i/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(95%)</t>
    </r>
  </si>
  <si>
    <r>
      <t xml:space="preserve">Upper limit of </t>
    </r>
    <r>
      <rPr>
        <i/>
        <sz val="11"/>
        <color indexed="8"/>
        <rFont val="Calibri"/>
        <family val="2"/>
      </rPr>
      <t>I</t>
    </r>
    <r>
      <rPr>
        <i/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(95%)</t>
    </r>
  </si>
  <si>
    <r>
      <t xml:space="preserve">Critical value for </t>
    </r>
    <r>
      <rPr>
        <i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 xml:space="preserve"> (95% interval)</t>
    </r>
  </si>
  <si>
    <r>
      <t xml:space="preserve">Variance of </t>
    </r>
    <r>
      <rPr>
        <i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>*</t>
    </r>
  </si>
  <si>
    <r>
      <t>df</t>
    </r>
    <r>
      <rPr>
        <i/>
        <vertAlign val="subscript"/>
        <sz val="11"/>
        <color indexed="8"/>
        <rFont val="Calibri"/>
        <family val="2"/>
      </rPr>
      <t>T</t>
    </r>
  </si>
  <si>
    <t>Step 9</t>
  </si>
  <si>
    <t>Step 10</t>
  </si>
  <si>
    <t xml:space="preserve">Table 18.1 - Dataset 1  Part D - Intermediate computations (Page 136) </t>
  </si>
  <si>
    <t xml:space="preserve">Table 14.1 - Dataset 1 Part A - Basic data (Page 88) </t>
  </si>
  <si>
    <t>Table 14.2 - Dataset 1 Part B - Fixed effect computations (Page 88)</t>
  </si>
  <si>
    <t xml:space="preserve">Table 14.3 - Dataset 1 Part C - Random effects computations (Page 88) </t>
  </si>
  <si>
    <t/>
  </si>
  <si>
    <t>The formulas are on the pages indicated</t>
  </si>
  <si>
    <t>The worked example is on page 91</t>
  </si>
  <si>
    <t>Compute Tau-squared, which is needed for step 6</t>
  </si>
  <si>
    <t>Fixed-effect statistics</t>
  </si>
  <si>
    <t>Random-effects statistics</t>
  </si>
  <si>
    <t>Table 18.2 - Dataset 1 Part E - Variance computations (Page 136)</t>
  </si>
  <si>
    <t>Example</t>
  </si>
  <si>
    <t>16.14*</t>
  </si>
  <si>
    <t>p.124</t>
  </si>
  <si>
    <t>p. 131</t>
  </si>
  <si>
    <t>p. 130</t>
  </si>
  <si>
    <t>p. 137</t>
  </si>
  <si>
    <t>p. 138</t>
  </si>
  <si>
    <t>p. 139</t>
  </si>
  <si>
    <t>p.139</t>
  </si>
  <si>
    <t>p.73</t>
  </si>
  <si>
    <t>p. 74</t>
  </si>
  <si>
    <t>Total N</t>
  </si>
  <si>
    <t>Compute g and Vg</t>
  </si>
  <si>
    <t>Fixed-effect statistics as log odds ratios</t>
  </si>
  <si>
    <t>Fixed effect statistics as odds ratios</t>
  </si>
  <si>
    <t>Random effects statistics as odds ratios</t>
  </si>
  <si>
    <t>This spreadsheet is intended to illustrate the concepts discussed in the text</t>
  </si>
  <si>
    <t>Therefore, we do not recommend using it to actually perform a meta-analysis</t>
  </si>
  <si>
    <t>Select one of the data sets by using the tabs at the bottom of this screen</t>
  </si>
  <si>
    <t>Enter the summary data</t>
  </si>
  <si>
    <t>Compute the effect size and its variance</t>
  </si>
  <si>
    <t>Compute T2, the between-studies variance</t>
  </si>
  <si>
    <t>Fixed-effect analysis - compute the intermediate values</t>
  </si>
  <si>
    <t>Fixed-effect analysis - compute the mean effect and related statistics</t>
  </si>
  <si>
    <t>Random-effects analysis - compute the intermediate values</t>
  </si>
  <si>
    <t>Random-effects analysis - compute the mean effect and related statistics</t>
  </si>
  <si>
    <t>Basics</t>
  </si>
  <si>
    <t>Fixed effect analysis</t>
  </si>
  <si>
    <t>Random effects analysis</t>
  </si>
  <si>
    <t>Heterogenity statistics</t>
  </si>
  <si>
    <t>Compute intermediate values</t>
  </si>
  <si>
    <t>Compute T2, T, I2, Prediction intervals, and related statistics</t>
  </si>
  <si>
    <t>Intuitive look at Q</t>
  </si>
  <si>
    <t>This table offers an alternate (intuitive computation of Q)</t>
  </si>
  <si>
    <t>Convert metric</t>
  </si>
  <si>
    <t>Step 11</t>
  </si>
  <si>
    <t>For correlational data, convert effect size from Fisher's Z to correlation</t>
  </si>
  <si>
    <t>For odds ratios, convert effect size from log odds ratio to odds ratio</t>
  </si>
  <si>
    <t>For more information about the book, and for updates to this spreadsheet</t>
  </si>
  <si>
    <t>www.Meta-Analysis.com</t>
  </si>
  <si>
    <t>MichaelB@Meta-Analysis.com</t>
  </si>
  <si>
    <t>This spreadsheet includes datasets from the text</t>
  </si>
  <si>
    <t>and does not include algorithms for all possible kinds of data.</t>
  </si>
  <si>
    <r>
      <rPr>
        <i/>
        <sz val="11"/>
        <color indexed="8"/>
        <rFont val="Calibri"/>
        <family val="2"/>
      </rPr>
      <t>Introduction to meta-analysis</t>
    </r>
    <r>
      <rPr>
        <sz val="11"/>
        <color theme="1"/>
        <rFont val="Calibri"/>
        <family val="2"/>
      </rPr>
      <t xml:space="preserve"> (Borenstein, Hedges, Higgins, Rothstein).</t>
    </r>
  </si>
  <si>
    <t>Chapter 14</t>
  </si>
  <si>
    <t>Chapter 18</t>
  </si>
  <si>
    <t>This spreadsheet, one of a series, is for the following chapters</t>
  </si>
  <si>
    <t>Once you have selected the relevant tab (means, binary, or correlational)</t>
  </si>
  <si>
    <t>follow the steps on that tab, as follows</t>
  </si>
  <si>
    <t>p. 90</t>
  </si>
  <si>
    <t>p. 91</t>
  </si>
  <si>
    <t>p. 92</t>
  </si>
  <si>
    <t>p. 95</t>
  </si>
  <si>
    <t>p. 96</t>
  </si>
  <si>
    <t xml:space="preserve">Table 14.4 - Dataset 1 Part A - Basic data (Page 93) </t>
  </si>
  <si>
    <t>Table 14.5 - Dataset 1 Part B - Fixed effect computations (Page 93)</t>
  </si>
  <si>
    <t xml:space="preserve">Table 14.6 - Dataset 1 Part C - Random effects computations (Page 93) </t>
  </si>
  <si>
    <t>p. 97</t>
  </si>
  <si>
    <t xml:space="preserve">Table 14.7 - Dataset 1 Part A - Basic data (Page 98) </t>
  </si>
  <si>
    <t>Table 14.8 - Dataset 1 Part B - Fixed effect computations (Page 97)</t>
  </si>
  <si>
    <t xml:space="preserve">Table 14.9 - Dataset 1 Part C - Random effects computations (Page 98) </t>
  </si>
  <si>
    <t>p. 100</t>
  </si>
  <si>
    <t>p. 101</t>
  </si>
  <si>
    <t>p. 102</t>
  </si>
  <si>
    <t>p. 141</t>
  </si>
  <si>
    <t>p. 142</t>
  </si>
  <si>
    <t>p. 143</t>
  </si>
  <si>
    <t>Continues on row 59</t>
  </si>
  <si>
    <t>Correlation</t>
  </si>
  <si>
    <r>
      <t xml:space="preserve">Compute </t>
    </r>
    <r>
      <rPr>
        <i/>
        <sz val="11"/>
        <color indexed="8"/>
        <rFont val="Calibri"/>
        <family val="2"/>
      </rPr>
      <t>g</t>
    </r>
    <r>
      <rPr>
        <sz val="11"/>
        <color theme="1"/>
        <rFont val="Calibri"/>
        <family val="2"/>
      </rPr>
      <t xml:space="preserve"> and </t>
    </r>
    <r>
      <rPr>
        <i/>
        <sz val="11"/>
        <color indexed="8"/>
        <rFont val="Calibri"/>
        <family val="2"/>
      </rPr>
      <t>V</t>
    </r>
    <r>
      <rPr>
        <i/>
        <vertAlign val="subscript"/>
        <sz val="11"/>
        <color indexed="8"/>
        <rFont val="Calibri"/>
        <family val="2"/>
      </rPr>
      <t>g</t>
    </r>
  </si>
  <si>
    <r>
      <rPr>
        <b/>
        <i/>
        <sz val="11"/>
        <color indexed="8"/>
        <rFont val="Calibri"/>
        <family val="2"/>
      </rPr>
      <t>T</t>
    </r>
    <r>
      <rPr>
        <b/>
        <i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and related statistics (log odds ratio)</t>
    </r>
  </si>
  <si>
    <t>Tau and related statistics  (log odds ratio)</t>
  </si>
  <si>
    <t>Prediction intervals (log odds ratio)</t>
  </si>
  <si>
    <r>
      <rPr>
        <b/>
        <i/>
        <sz val="11"/>
        <color indexed="8"/>
        <rFont val="Calibri"/>
        <family val="2"/>
      </rPr>
      <t>T</t>
    </r>
    <r>
      <rPr>
        <b/>
        <i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and related statistics (Fisher's </t>
    </r>
    <r>
      <rPr>
        <b/>
        <i/>
        <sz val="11"/>
        <color indexed="8"/>
        <rFont val="Calibri"/>
        <family val="2"/>
      </rPr>
      <t>Z</t>
    </r>
    <r>
      <rPr>
        <b/>
        <sz val="11"/>
        <color indexed="8"/>
        <rFont val="Calibri"/>
        <family val="2"/>
      </rPr>
      <t>)</t>
    </r>
  </si>
  <si>
    <r>
      <t xml:space="preserve">Tau and related statistics(Fisher's </t>
    </r>
    <r>
      <rPr>
        <b/>
        <i/>
        <sz val="11"/>
        <color indexed="8"/>
        <rFont val="Calibri"/>
        <family val="2"/>
      </rPr>
      <t>Z</t>
    </r>
    <r>
      <rPr>
        <b/>
        <sz val="11"/>
        <color indexed="8"/>
        <rFont val="Calibri"/>
        <family val="2"/>
      </rPr>
      <t>)</t>
    </r>
  </si>
  <si>
    <r>
      <t xml:space="preserve">Prediction intervals(Fisher's </t>
    </r>
    <r>
      <rPr>
        <b/>
        <i/>
        <sz val="11"/>
        <color indexed="8"/>
        <rFont val="Calibri"/>
        <family val="2"/>
      </rPr>
      <t>Z</t>
    </r>
    <r>
      <rPr>
        <b/>
        <sz val="11"/>
        <color indexed="8"/>
        <rFont val="Calibri"/>
        <family val="2"/>
      </rPr>
      <t>)</t>
    </r>
  </si>
  <si>
    <t>Random effects statistics as correlations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</si>
</sst>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000000"/>
    <numFmt numFmtId="167" formatCode="0.0000"/>
    <numFmt numFmtId="168" formatCode="0.000"/>
    <numFmt numFmtId="169" formatCode="0.00000000000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i/>
      <vertAlign val="subscript"/>
      <sz val="11"/>
      <color indexed="8"/>
      <name val="Calibri"/>
      <family val="2"/>
    </font>
    <font>
      <i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41" fillId="0" borderId="13" xfId="0" applyNumberFormat="1" applyFont="1" applyBorder="1" applyAlignment="1">
      <alignment horizontal="center"/>
    </xf>
    <xf numFmtId="2" fontId="41" fillId="0" borderId="0" xfId="0" applyNumberFormat="1" applyFont="1" applyBorder="1" applyAlignment="1">
      <alignment horizontal="center"/>
    </xf>
    <xf numFmtId="2" fontId="41" fillId="0" borderId="14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14" xfId="0" applyNumberFormat="1" applyBorder="1" applyAlignment="1">
      <alignment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3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right"/>
    </xf>
    <xf numFmtId="0" fontId="39" fillId="0" borderId="13" xfId="0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0" borderId="11" xfId="0" applyBorder="1" applyAlignment="1">
      <alignment/>
    </xf>
    <xf numFmtId="168" fontId="0" fillId="0" borderId="11" xfId="0" applyNumberFormat="1" applyBorder="1" applyAlignment="1">
      <alignment/>
    </xf>
    <xf numFmtId="168" fontId="0" fillId="0" borderId="12" xfId="0" applyNumberFormat="1" applyBorder="1" applyAlignment="1">
      <alignment/>
    </xf>
    <xf numFmtId="0" fontId="41" fillId="0" borderId="13" xfId="0" applyFont="1" applyBorder="1" applyAlignment="1">
      <alignment/>
    </xf>
    <xf numFmtId="10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4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39" fillId="0" borderId="14" xfId="0" applyFont="1" applyBorder="1" applyAlignment="1">
      <alignment horizontal="center"/>
    </xf>
    <xf numFmtId="167" fontId="0" fillId="0" borderId="16" xfId="0" applyNumberFormat="1" applyBorder="1" applyAlignment="1">
      <alignment/>
    </xf>
    <xf numFmtId="0" fontId="0" fillId="0" borderId="16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6" xfId="0" applyNumberFormat="1" applyBorder="1" applyAlignment="1">
      <alignment/>
    </xf>
    <xf numFmtId="0" fontId="39" fillId="0" borderId="10" xfId="0" applyFont="1" applyBorder="1" applyAlignment="1">
      <alignment/>
    </xf>
    <xf numFmtId="0" fontId="0" fillId="0" borderId="17" xfId="0" applyBorder="1" applyAlignment="1">
      <alignment horizontal="right"/>
    </xf>
    <xf numFmtId="0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167" fontId="0" fillId="0" borderId="13" xfId="0" applyNumberFormat="1" applyBorder="1" applyAlignment="1">
      <alignment/>
    </xf>
    <xf numFmtId="167" fontId="0" fillId="0" borderId="14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15" xfId="0" applyNumberFormat="1" applyBorder="1" applyAlignment="1">
      <alignment/>
    </xf>
    <xf numFmtId="0" fontId="0" fillId="0" borderId="16" xfId="0" applyBorder="1" applyAlignment="1">
      <alignment horizontal="right"/>
    </xf>
    <xf numFmtId="0" fontId="33" fillId="0" borderId="0" xfId="52" applyAlignment="1" applyProtection="1">
      <alignment/>
      <protection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7" xfId="0" applyNumberFormat="1" applyBorder="1" applyAlignment="1">
      <alignment horizontal="right"/>
    </xf>
    <xf numFmtId="0" fontId="41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3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39" fillId="0" borderId="10" xfId="0" applyFont="1" applyBorder="1" applyAlignment="1">
      <alignment horizontal="left" vertical="top"/>
    </xf>
    <xf numFmtId="0" fontId="39" fillId="0" borderId="11" xfId="0" applyFont="1" applyBorder="1" applyAlignment="1">
      <alignment horizontal="left" vertical="top"/>
    </xf>
    <xf numFmtId="0" fontId="39" fillId="0" borderId="12" xfId="0" applyFont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39" fillId="0" borderId="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a-analysis.com/" TargetMode="External" /><Relationship Id="rId2" Type="http://schemas.openxmlformats.org/officeDocument/2006/relationships/hyperlink" Target="mailto:MichaelB@Meta-Analysis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45"/>
  <sheetViews>
    <sheetView showGridLines="0" workbookViewId="0" topLeftCell="A23">
      <selection activeCell="A1" sqref="A1"/>
    </sheetView>
  </sheetViews>
  <sheetFormatPr defaultColWidth="8.8515625" defaultRowHeight="15"/>
  <cols>
    <col min="1" max="1" width="8.8515625" style="0" customWidth="1"/>
    <col min="2" max="2" width="5.140625" style="0" customWidth="1"/>
  </cols>
  <sheetData>
    <row r="2" ht="13.5">
      <c r="B2" t="s">
        <v>217</v>
      </c>
    </row>
    <row r="3" ht="13.5">
      <c r="B3" t="s">
        <v>219</v>
      </c>
    </row>
    <row r="5" ht="13.5">
      <c r="B5" t="s">
        <v>222</v>
      </c>
    </row>
    <row r="6" ht="15" thickBot="1"/>
    <row r="7" spans="2:4" ht="13.5">
      <c r="B7" s="68"/>
      <c r="C7" s="53" t="s">
        <v>220</v>
      </c>
      <c r="D7" s="69"/>
    </row>
    <row r="8" spans="2:4" ht="15" thickBot="1">
      <c r="B8" s="44"/>
      <c r="C8" s="58" t="s">
        <v>221</v>
      </c>
      <c r="D8" s="60"/>
    </row>
    <row r="10" ht="13.5">
      <c r="B10" t="s">
        <v>192</v>
      </c>
    </row>
    <row r="11" ht="13.5">
      <c r="B11" t="s">
        <v>218</v>
      </c>
    </row>
    <row r="12" ht="13.5">
      <c r="B12" t="s">
        <v>193</v>
      </c>
    </row>
    <row r="14" ht="13.5">
      <c r="B14" t="s">
        <v>214</v>
      </c>
    </row>
    <row r="15" ht="13.5">
      <c r="B15" s="80" t="s">
        <v>215</v>
      </c>
    </row>
    <row r="16" ht="13.5">
      <c r="B16" s="80" t="s">
        <v>216</v>
      </c>
    </row>
    <row r="17" ht="13.5">
      <c r="B17" s="80"/>
    </row>
    <row r="18" ht="13.5">
      <c r="B18" t="s">
        <v>194</v>
      </c>
    </row>
    <row r="20" ht="13.5">
      <c r="B20" t="s">
        <v>223</v>
      </c>
    </row>
    <row r="21" ht="13.5">
      <c r="B21" t="s">
        <v>224</v>
      </c>
    </row>
    <row r="23" ht="13.5">
      <c r="B23" t="s">
        <v>202</v>
      </c>
    </row>
    <row r="24" spans="3:4" ht="13.5">
      <c r="C24" t="s">
        <v>102</v>
      </c>
      <c r="D24" t="s">
        <v>195</v>
      </c>
    </row>
    <row r="25" spans="3:4" ht="13.5">
      <c r="C25" t="s">
        <v>103</v>
      </c>
      <c r="D25" t="s">
        <v>196</v>
      </c>
    </row>
    <row r="27" ht="13.5">
      <c r="B27" t="s">
        <v>203</v>
      </c>
    </row>
    <row r="28" spans="3:4" ht="13.5">
      <c r="C28" t="s">
        <v>104</v>
      </c>
      <c r="D28" t="s">
        <v>198</v>
      </c>
    </row>
    <row r="29" spans="3:4" ht="13.5">
      <c r="C29" t="s">
        <v>105</v>
      </c>
      <c r="D29" t="s">
        <v>199</v>
      </c>
    </row>
    <row r="31" ht="13.5">
      <c r="B31" t="s">
        <v>204</v>
      </c>
    </row>
    <row r="32" spans="3:4" ht="13.5">
      <c r="C32" t="s">
        <v>106</v>
      </c>
      <c r="D32" t="s">
        <v>197</v>
      </c>
    </row>
    <row r="33" spans="3:4" ht="13.5">
      <c r="C33" t="s">
        <v>143</v>
      </c>
      <c r="D33" t="s">
        <v>200</v>
      </c>
    </row>
    <row r="34" spans="3:4" ht="13.5">
      <c r="C34" t="s">
        <v>145</v>
      </c>
      <c r="D34" t="s">
        <v>201</v>
      </c>
    </row>
    <row r="36" ht="13.5">
      <c r="B36" t="s">
        <v>205</v>
      </c>
    </row>
    <row r="37" spans="3:4" ht="13.5">
      <c r="C37" t="s">
        <v>144</v>
      </c>
      <c r="D37" t="s">
        <v>206</v>
      </c>
    </row>
    <row r="38" spans="3:4" ht="13.5">
      <c r="C38" t="s">
        <v>163</v>
      </c>
      <c r="D38" t="s">
        <v>207</v>
      </c>
    </row>
    <row r="40" ht="13.5">
      <c r="B40" t="s">
        <v>208</v>
      </c>
    </row>
    <row r="41" spans="3:4" ht="13.5">
      <c r="C41" t="s">
        <v>164</v>
      </c>
      <c r="D41" t="s">
        <v>209</v>
      </c>
    </row>
    <row r="43" ht="13.5">
      <c r="B43" t="s">
        <v>210</v>
      </c>
    </row>
    <row r="44" spans="3:4" ht="13.5">
      <c r="C44" t="s">
        <v>211</v>
      </c>
      <c r="D44" t="s">
        <v>213</v>
      </c>
    </row>
    <row r="45" ht="13.5">
      <c r="D45" t="s">
        <v>212</v>
      </c>
    </row>
  </sheetData>
  <sheetProtection/>
  <hyperlinks>
    <hyperlink ref="B15" r:id="rId1" display="www.Meta-Analysis.com"/>
    <hyperlink ref="B16" r:id="rId2" display="MichaelB@Meta-Analysis.com"/>
  </hyperlink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1:AW60"/>
  <sheetViews>
    <sheetView tabSelected="1" workbookViewId="0" topLeftCell="AH23">
      <selection activeCell="AT46" sqref="AT46"/>
    </sheetView>
  </sheetViews>
  <sheetFormatPr defaultColWidth="8.8515625" defaultRowHeight="15"/>
  <cols>
    <col min="1" max="1" width="8.8515625" style="0" customWidth="1"/>
    <col min="2" max="2" width="10.8515625" style="0" customWidth="1"/>
    <col min="3" max="3" width="6.421875" style="0" customWidth="1"/>
    <col min="4" max="4" width="7.421875" style="0" customWidth="1"/>
    <col min="5" max="5" width="6.7109375" style="0" customWidth="1"/>
    <col min="6" max="6" width="7.28125" style="0" customWidth="1"/>
    <col min="7" max="7" width="7.140625" style="0" customWidth="1"/>
    <col min="8" max="8" width="7.421875" style="0" customWidth="1"/>
    <col min="9" max="9" width="9.00390625" style="0" customWidth="1"/>
    <col min="10" max="11" width="8.8515625" style="0" customWidth="1"/>
    <col min="12" max="12" width="9.8515625" style="0" customWidth="1"/>
    <col min="13" max="14" width="9.421875" style="0" customWidth="1"/>
    <col min="15" max="15" width="8.140625" style="0" customWidth="1"/>
    <col min="16" max="16" width="8.421875" style="0" customWidth="1"/>
    <col min="17" max="18" width="8.8515625" style="0" customWidth="1"/>
    <col min="19" max="20" width="8.421875" style="0" customWidth="1"/>
    <col min="21" max="21" width="9.28125" style="0" bestFit="1" customWidth="1"/>
    <col min="22" max="22" width="9.421875" style="0" customWidth="1"/>
    <col min="23" max="23" width="8.421875" style="0" customWidth="1"/>
    <col min="24" max="24" width="9.421875" style="0" bestFit="1" customWidth="1"/>
    <col min="25" max="26" width="8.8515625" style="0" customWidth="1"/>
    <col min="27" max="27" width="8.28125" style="0" customWidth="1"/>
    <col min="28" max="28" width="9.421875" style="0" customWidth="1"/>
    <col min="29" max="29" width="8.8515625" style="0" customWidth="1"/>
    <col min="30" max="30" width="10.140625" style="0" customWidth="1"/>
    <col min="31" max="31" width="8.7109375" style="0" customWidth="1"/>
    <col min="32" max="32" width="11.28125" style="0" customWidth="1"/>
    <col min="33" max="34" width="8.8515625" style="0" customWidth="1"/>
    <col min="35" max="35" width="7.421875" style="0" customWidth="1"/>
    <col min="36" max="36" width="9.140625" style="0" customWidth="1"/>
    <col min="37" max="37" width="9.28125" style="0" bestFit="1" customWidth="1"/>
    <col min="38" max="38" width="8.421875" style="0" customWidth="1"/>
    <col min="39" max="39" width="9.28125" style="0" bestFit="1" customWidth="1"/>
    <col min="40" max="40" width="9.8515625" style="0" customWidth="1"/>
    <col min="41" max="41" width="12.140625" style="0" customWidth="1"/>
    <col min="42" max="43" width="8.8515625" style="0" customWidth="1"/>
    <col min="44" max="44" width="8.00390625" style="0" customWidth="1"/>
    <col min="45" max="45" width="8.8515625" style="0" customWidth="1"/>
  </cols>
  <sheetData>
    <row r="1" spans="2:49" ht="21.75" customHeight="1">
      <c r="B1" s="91" t="s">
        <v>102</v>
      </c>
      <c r="C1" s="91"/>
      <c r="D1" s="91"/>
      <c r="E1" s="91"/>
      <c r="F1" s="91"/>
      <c r="G1" s="91"/>
      <c r="H1" s="91"/>
      <c r="J1" s="91" t="s">
        <v>103</v>
      </c>
      <c r="K1" s="91"/>
      <c r="L1" s="91"/>
      <c r="M1" s="91"/>
      <c r="N1" s="91"/>
      <c r="O1" s="91"/>
      <c r="P1" s="91"/>
      <c r="R1" s="91" t="s">
        <v>104</v>
      </c>
      <c r="S1" s="91"/>
      <c r="T1" s="91"/>
      <c r="U1" s="91"/>
      <c r="V1" s="91"/>
      <c r="W1" s="91"/>
      <c r="X1" s="91"/>
      <c r="Z1" s="91" t="s">
        <v>143</v>
      </c>
      <c r="AA1" s="91"/>
      <c r="AB1" s="91"/>
      <c r="AC1" s="91"/>
      <c r="AD1" s="91"/>
      <c r="AE1" s="91"/>
      <c r="AF1" s="91"/>
      <c r="AH1" s="91" t="s">
        <v>144</v>
      </c>
      <c r="AI1" s="91"/>
      <c r="AJ1" s="91"/>
      <c r="AK1" s="91"/>
      <c r="AL1" s="91"/>
      <c r="AM1" s="91"/>
      <c r="AN1" s="91"/>
      <c r="AO1" s="91"/>
      <c r="AQ1" s="89" t="s">
        <v>164</v>
      </c>
      <c r="AR1" s="89"/>
      <c r="AS1" s="89"/>
      <c r="AT1" s="89"/>
      <c r="AU1" s="89"/>
      <c r="AV1" s="89"/>
      <c r="AW1" s="89"/>
    </row>
    <row r="2" ht="13.5">
      <c r="Z2" s="52" t="s">
        <v>169</v>
      </c>
    </row>
    <row r="3" spans="2:49" ht="16.5" thickBot="1">
      <c r="B3" s="93" t="s">
        <v>166</v>
      </c>
      <c r="C3" s="93"/>
      <c r="D3" s="93"/>
      <c r="E3" s="93"/>
      <c r="F3" s="93"/>
      <c r="G3" s="93"/>
      <c r="H3" s="93"/>
      <c r="I3" s="26"/>
      <c r="J3" s="107" t="s">
        <v>50</v>
      </c>
      <c r="K3" s="107"/>
      <c r="L3" s="107"/>
      <c r="M3" s="107"/>
      <c r="N3" s="107"/>
      <c r="O3" s="107"/>
      <c r="P3" s="107"/>
      <c r="R3" s="92" t="s">
        <v>167</v>
      </c>
      <c r="S3" s="92"/>
      <c r="T3" s="92"/>
      <c r="U3" s="92"/>
      <c r="V3" s="92"/>
      <c r="W3" s="92"/>
      <c r="X3" s="92"/>
      <c r="Z3" s="93" t="s">
        <v>168</v>
      </c>
      <c r="AA3" s="93"/>
      <c r="AB3" s="93"/>
      <c r="AC3" s="93"/>
      <c r="AD3" s="93"/>
      <c r="AE3" s="93"/>
      <c r="AF3" s="93"/>
      <c r="AH3" s="93" t="s">
        <v>165</v>
      </c>
      <c r="AI3" s="93"/>
      <c r="AJ3" s="93"/>
      <c r="AK3" s="93"/>
      <c r="AL3" s="93"/>
      <c r="AM3" s="93"/>
      <c r="AN3" s="93"/>
      <c r="AO3" s="93"/>
      <c r="AQ3" s="93" t="s">
        <v>175</v>
      </c>
      <c r="AR3" s="93"/>
      <c r="AS3" s="93"/>
      <c r="AT3" s="93"/>
      <c r="AU3" s="93"/>
      <c r="AV3" s="93"/>
      <c r="AW3" s="93"/>
    </row>
    <row r="4" spans="2:49" ht="13.5">
      <c r="B4" s="2"/>
      <c r="C4" s="3"/>
      <c r="D4" s="3"/>
      <c r="E4" s="3"/>
      <c r="F4" s="3"/>
      <c r="G4" s="3"/>
      <c r="H4" s="4"/>
      <c r="I4" s="6"/>
      <c r="J4" s="11"/>
      <c r="K4" s="12"/>
      <c r="L4" s="12"/>
      <c r="M4" s="12"/>
      <c r="N4" s="12"/>
      <c r="O4" s="12"/>
      <c r="P4" s="13"/>
      <c r="R4" s="2"/>
      <c r="S4" s="3"/>
      <c r="T4" s="3"/>
      <c r="U4" s="3"/>
      <c r="V4" s="3"/>
      <c r="W4" s="3"/>
      <c r="X4" s="4"/>
      <c r="Z4" s="2"/>
      <c r="AA4" s="3"/>
      <c r="AB4" s="3"/>
      <c r="AC4" s="3"/>
      <c r="AD4" s="3"/>
      <c r="AE4" s="3"/>
      <c r="AF4" s="4"/>
      <c r="AH4" s="2"/>
      <c r="AI4" s="3"/>
      <c r="AJ4" s="3"/>
      <c r="AK4" s="3"/>
      <c r="AL4" s="3"/>
      <c r="AM4" s="3"/>
      <c r="AN4" s="3"/>
      <c r="AO4" s="4"/>
      <c r="AQ4" s="2"/>
      <c r="AR4" s="3"/>
      <c r="AS4" s="3"/>
      <c r="AT4" s="3"/>
      <c r="AU4" s="3"/>
      <c r="AV4" s="3"/>
      <c r="AW4" s="4"/>
    </row>
    <row r="5" spans="2:49" ht="30" customHeight="1">
      <c r="B5" s="5" t="s">
        <v>0</v>
      </c>
      <c r="C5" s="92" t="s">
        <v>1</v>
      </c>
      <c r="D5" s="92"/>
      <c r="E5" s="92"/>
      <c r="F5" s="92" t="s">
        <v>5</v>
      </c>
      <c r="G5" s="92"/>
      <c r="H5" s="106"/>
      <c r="I5" s="26"/>
      <c r="J5" s="31" t="s">
        <v>89</v>
      </c>
      <c r="K5" s="32" t="s">
        <v>90</v>
      </c>
      <c r="L5" s="32" t="s">
        <v>91</v>
      </c>
      <c r="M5" s="32" t="s">
        <v>92</v>
      </c>
      <c r="N5" s="32" t="s">
        <v>93</v>
      </c>
      <c r="O5" s="32" t="s">
        <v>94</v>
      </c>
      <c r="P5" s="33" t="s">
        <v>95</v>
      </c>
      <c r="R5" s="34"/>
      <c r="S5" s="35" t="s">
        <v>56</v>
      </c>
      <c r="T5" s="35" t="s">
        <v>57</v>
      </c>
      <c r="U5" s="35" t="s">
        <v>58</v>
      </c>
      <c r="V5" s="98" t="s">
        <v>59</v>
      </c>
      <c r="W5" s="98"/>
      <c r="X5" s="99"/>
      <c r="Z5" s="5"/>
      <c r="AA5" s="35" t="s">
        <v>56</v>
      </c>
      <c r="AB5" s="35" t="s">
        <v>85</v>
      </c>
      <c r="AC5" s="35" t="s">
        <v>84</v>
      </c>
      <c r="AD5" s="32" t="s">
        <v>86</v>
      </c>
      <c r="AE5" s="32" t="s">
        <v>58</v>
      </c>
      <c r="AF5" s="33" t="s">
        <v>59</v>
      </c>
      <c r="AH5" s="5"/>
      <c r="AI5" s="6"/>
      <c r="AJ5" s="6"/>
      <c r="AK5" s="6"/>
      <c r="AL5" s="6"/>
      <c r="AM5" s="6"/>
      <c r="AN5" s="6"/>
      <c r="AO5" s="7"/>
      <c r="AQ5" s="5"/>
      <c r="AR5" s="6"/>
      <c r="AS5" s="6"/>
      <c r="AT5" s="6"/>
      <c r="AU5" s="6"/>
      <c r="AV5" s="6"/>
      <c r="AW5" s="7"/>
    </row>
    <row r="6" spans="2:49" ht="24.75" customHeight="1">
      <c r="B6" s="5"/>
      <c r="C6" s="26" t="s">
        <v>2</v>
      </c>
      <c r="D6" s="26" t="s">
        <v>3</v>
      </c>
      <c r="E6" s="26" t="s">
        <v>49</v>
      </c>
      <c r="F6" s="26" t="s">
        <v>2</v>
      </c>
      <c r="G6" s="26" t="s">
        <v>3</v>
      </c>
      <c r="H6" s="27" t="s">
        <v>49</v>
      </c>
      <c r="I6" s="6"/>
      <c r="J6" s="17" t="s">
        <v>6</v>
      </c>
      <c r="K6" s="18" t="s">
        <v>51</v>
      </c>
      <c r="L6" s="18" t="s">
        <v>7</v>
      </c>
      <c r="M6" s="18" t="s">
        <v>52</v>
      </c>
      <c r="N6" s="18" t="s">
        <v>15</v>
      </c>
      <c r="O6" s="18" t="s">
        <v>8</v>
      </c>
      <c r="P6" s="19" t="s">
        <v>53</v>
      </c>
      <c r="R6" s="5" t="str">
        <f>B5</f>
        <v>Study</v>
      </c>
      <c r="S6" s="28" t="s">
        <v>16</v>
      </c>
      <c r="T6" s="28" t="s">
        <v>73</v>
      </c>
      <c r="U6" s="28" t="s">
        <v>17</v>
      </c>
      <c r="V6" s="28" t="s">
        <v>18</v>
      </c>
      <c r="W6" s="28" t="s">
        <v>54</v>
      </c>
      <c r="X6" s="29" t="s">
        <v>55</v>
      </c>
      <c r="Z6" s="5" t="str">
        <f>R6</f>
        <v>Study</v>
      </c>
      <c r="AA6" s="28" t="s">
        <v>16</v>
      </c>
      <c r="AB6" s="28" t="s">
        <v>73</v>
      </c>
      <c r="AC6" s="28" t="s">
        <v>72</v>
      </c>
      <c r="AD6" s="28" t="s">
        <v>74</v>
      </c>
      <c r="AE6" s="28" t="s">
        <v>107</v>
      </c>
      <c r="AF6" s="29" t="s">
        <v>108</v>
      </c>
      <c r="AH6" s="5" t="str">
        <f>Z6</f>
        <v>Study</v>
      </c>
      <c r="AI6" s="28" t="s">
        <v>16</v>
      </c>
      <c r="AJ6" s="28" t="s">
        <v>96</v>
      </c>
      <c r="AK6" s="28" t="s">
        <v>17</v>
      </c>
      <c r="AL6" s="28" t="s">
        <v>18</v>
      </c>
      <c r="AM6" s="28" t="s">
        <v>97</v>
      </c>
      <c r="AN6" s="28" t="s">
        <v>98</v>
      </c>
      <c r="AO6" s="29" t="s">
        <v>99</v>
      </c>
      <c r="AQ6" s="5" t="str">
        <f>AH6</f>
        <v>Study</v>
      </c>
      <c r="AR6" s="28" t="s">
        <v>16</v>
      </c>
      <c r="AS6" s="28" t="s">
        <v>96</v>
      </c>
      <c r="AT6" s="28" t="s">
        <v>17</v>
      </c>
      <c r="AU6" s="28" t="s">
        <v>19</v>
      </c>
      <c r="AV6" s="28" t="s">
        <v>100</v>
      </c>
      <c r="AW6" s="29" t="s">
        <v>101</v>
      </c>
    </row>
    <row r="7" spans="2:49" ht="13.5">
      <c r="B7" s="5"/>
      <c r="C7" s="6"/>
      <c r="D7" s="6"/>
      <c r="E7" s="6"/>
      <c r="F7" s="6"/>
      <c r="G7" s="6"/>
      <c r="H7" s="7"/>
      <c r="I7" s="6"/>
      <c r="J7" s="14"/>
      <c r="K7" s="15"/>
      <c r="L7" s="15"/>
      <c r="M7" s="15"/>
      <c r="N7" s="15"/>
      <c r="O7" s="15"/>
      <c r="P7" s="16"/>
      <c r="R7" s="5"/>
      <c r="S7" s="6"/>
      <c r="T7" s="20"/>
      <c r="U7" s="20"/>
      <c r="V7" s="6"/>
      <c r="W7" s="6"/>
      <c r="X7" s="7"/>
      <c r="Z7" s="5"/>
      <c r="AA7" s="6"/>
      <c r="AB7" s="6"/>
      <c r="AC7" s="6"/>
      <c r="AD7" s="6"/>
      <c r="AE7" s="6"/>
      <c r="AF7" s="7"/>
      <c r="AH7" s="5"/>
      <c r="AI7" s="6"/>
      <c r="AJ7" s="6"/>
      <c r="AK7" s="6"/>
      <c r="AL7" s="6"/>
      <c r="AM7" s="6"/>
      <c r="AN7" s="6"/>
      <c r="AO7" s="7"/>
      <c r="AQ7" s="5"/>
      <c r="AR7" s="6"/>
      <c r="AS7" s="6"/>
      <c r="AT7" s="6"/>
      <c r="AU7" s="6"/>
      <c r="AV7" s="6"/>
      <c r="AW7" s="7"/>
    </row>
    <row r="8" spans="2:49" ht="13.5">
      <c r="B8" s="5" t="s">
        <v>9</v>
      </c>
      <c r="C8" s="6">
        <v>94</v>
      </c>
      <c r="D8" s="6">
        <v>22</v>
      </c>
      <c r="E8" s="6">
        <v>60</v>
      </c>
      <c r="F8" s="6">
        <v>92</v>
      </c>
      <c r="G8" s="6">
        <v>20</v>
      </c>
      <c r="H8" s="7">
        <v>60</v>
      </c>
      <c r="I8" s="6"/>
      <c r="J8" s="25">
        <f aca="true" t="shared" si="0" ref="J8:J13">C8-F8</f>
        <v>2</v>
      </c>
      <c r="K8" s="21">
        <f aca="true" t="shared" si="1" ref="K8:K13">SQRT(((E8-1)*D8^2+(H8-1)*G8^2)/(E8+H8-2))</f>
        <v>21.02379604162864</v>
      </c>
      <c r="L8" s="21">
        <f aca="true" t="shared" si="2" ref="L8:L13">J8/K8</f>
        <v>0.09513029883089881</v>
      </c>
      <c r="M8" s="21">
        <f aca="true" t="shared" si="3" ref="M8:M13">(E8+H8)/(E8*H8)+L8^2/(2*(E8+H8))</f>
        <v>0.0333710407239819</v>
      </c>
      <c r="N8" s="21">
        <f aca="true" t="shared" si="4" ref="N8:N13">1-(3/(4*(E8+H8-2)-1))</f>
        <v>0.9936305732484076</v>
      </c>
      <c r="O8" s="21">
        <f aca="true" t="shared" si="5" ref="O8:O13">L8*N8</f>
        <v>0.0945243733606383</v>
      </c>
      <c r="P8" s="22">
        <f aca="true" t="shared" si="6" ref="P8:P13">N8^2*M8</f>
        <v>0.03294728577462873</v>
      </c>
      <c r="R8" s="5" t="str">
        <f aca="true" t="shared" si="7" ref="R8:R13">B8</f>
        <v>Carroll</v>
      </c>
      <c r="S8" s="21">
        <f aca="true" t="shared" si="8" ref="S8:S13">O8</f>
        <v>0.0945243733606383</v>
      </c>
      <c r="T8" s="21">
        <f aca="true" t="shared" si="9" ref="T8:T13">P8</f>
        <v>0.03294728577462873</v>
      </c>
      <c r="U8" s="21">
        <f aca="true" t="shared" si="10" ref="U8:U13">1/T8</f>
        <v>30.35151383456468</v>
      </c>
      <c r="V8" s="21">
        <f aca="true" t="shared" si="11" ref="V8:V13">U8*S8</f>
        <v>2.8689578257589705</v>
      </c>
      <c r="W8" s="21">
        <f aca="true" t="shared" si="12" ref="W8:W13">U8*S8^2</f>
        <v>0.27118644067796605</v>
      </c>
      <c r="X8" s="22">
        <f aca="true" t="shared" si="13" ref="X8:X13">U8^2</f>
        <v>921.2143920497713</v>
      </c>
      <c r="Z8" s="5" t="str">
        <f aca="true" t="shared" si="14" ref="Z8:Z13">R8</f>
        <v>Carroll</v>
      </c>
      <c r="AA8" s="21">
        <f aca="true" t="shared" si="15" ref="AA8:AB13">S8</f>
        <v>0.0945243733606383</v>
      </c>
      <c r="AB8" s="21">
        <f t="shared" si="15"/>
        <v>0.03294728577462873</v>
      </c>
      <c r="AC8" s="21">
        <f aca="true" t="shared" si="16" ref="AC8:AC13">$V$48</f>
        <v>0.03731130634814963</v>
      </c>
      <c r="AD8" s="21">
        <f aca="true" t="shared" si="17" ref="AD8:AD13">AB8+AC8</f>
        <v>0.07025859212277835</v>
      </c>
      <c r="AE8" s="21">
        <f aca="true" t="shared" si="18" ref="AE8:AE13">1/AD8</f>
        <v>14.233134621491976</v>
      </c>
      <c r="AF8" s="22">
        <f aca="true" t="shared" si="19" ref="AF8:AF13">AE8*AA8</f>
        <v>1.3453781310541348</v>
      </c>
      <c r="AH8" s="5" t="str">
        <f aca="true" t="shared" si="20" ref="AH8:AH13">Z8</f>
        <v>Carroll</v>
      </c>
      <c r="AI8" s="21">
        <f aca="true" t="shared" si="21" ref="AI8:AJ13">AA8</f>
        <v>0.0945243733606383</v>
      </c>
      <c r="AJ8" s="21">
        <f t="shared" si="21"/>
        <v>0.03294728577462873</v>
      </c>
      <c r="AK8" s="21">
        <f aca="true" t="shared" si="22" ref="AK8:AK13">1/AJ8</f>
        <v>30.35151383456468</v>
      </c>
      <c r="AL8" s="21">
        <f aca="true" t="shared" si="23" ref="AL8:AL13">AK8*AI8</f>
        <v>2.8689578257589705</v>
      </c>
      <c r="AM8" s="21">
        <f aca="true" t="shared" si="24" ref="AM8:AM13">AK8*AI8^2</f>
        <v>0.27118644067796605</v>
      </c>
      <c r="AN8" s="21">
        <f aca="true" t="shared" si="25" ref="AN8:AN13">AK8^2</f>
        <v>921.2143920497713</v>
      </c>
      <c r="AO8" s="22">
        <f aca="true" t="shared" si="26" ref="AO8:AO13">AK8^3</f>
        <v>27960.251364898726</v>
      </c>
      <c r="AQ8" s="5" t="str">
        <f aca="true" t="shared" si="27" ref="AQ8:AQ13">AH8</f>
        <v>Carroll</v>
      </c>
      <c r="AR8" s="21">
        <f aca="true" t="shared" si="28" ref="AR8:AS13">AI8</f>
        <v>0.0945243733606383</v>
      </c>
      <c r="AS8" s="21">
        <f t="shared" si="28"/>
        <v>0.03294728577462873</v>
      </c>
      <c r="AT8" s="21">
        <f aca="true" t="shared" si="29" ref="AT8:AT13">1/AS8</f>
        <v>30.35151383456468</v>
      </c>
      <c r="AU8" s="21">
        <f aca="true" t="shared" si="30" ref="AU8:AU13">$V$24</f>
        <v>0.4142696715974588</v>
      </c>
      <c r="AV8" s="21">
        <f aca="true" t="shared" si="31" ref="AV8:AV13">(AR8-AU8)^2</f>
        <v>0.1022370557445533</v>
      </c>
      <c r="AW8" s="22">
        <f aca="true" t="shared" si="32" ref="AW8:AW13">AT8*AV8</f>
        <v>3.10304941183597</v>
      </c>
    </row>
    <row r="9" spans="2:49" ht="13.5">
      <c r="B9" s="5" t="s">
        <v>10</v>
      </c>
      <c r="C9" s="6">
        <v>98</v>
      </c>
      <c r="D9" s="6">
        <v>21</v>
      </c>
      <c r="E9" s="6">
        <v>65</v>
      </c>
      <c r="F9" s="6">
        <v>92</v>
      </c>
      <c r="G9" s="6">
        <v>22</v>
      </c>
      <c r="H9" s="7">
        <v>65</v>
      </c>
      <c r="I9" s="6"/>
      <c r="J9" s="25">
        <f t="shared" si="0"/>
        <v>6</v>
      </c>
      <c r="K9" s="21">
        <f t="shared" si="1"/>
        <v>21.50581316760657</v>
      </c>
      <c r="L9" s="21">
        <f t="shared" si="2"/>
        <v>0.27899433298516624</v>
      </c>
      <c r="M9" s="21">
        <f t="shared" si="3"/>
        <v>0.03106860706860707</v>
      </c>
      <c r="N9" s="21">
        <f t="shared" si="4"/>
        <v>0.9941291585127201</v>
      </c>
      <c r="O9" s="21">
        <f t="shared" si="5"/>
        <v>0.27735640148036095</v>
      </c>
      <c r="P9" s="22">
        <f t="shared" si="6"/>
        <v>0.030704880168783876</v>
      </c>
      <c r="R9" s="5" t="str">
        <f t="shared" si="7"/>
        <v>Grant</v>
      </c>
      <c r="S9" s="21">
        <f t="shared" si="8"/>
        <v>0.27735640148036095</v>
      </c>
      <c r="T9" s="21">
        <f t="shared" si="9"/>
        <v>0.030704880168783876</v>
      </c>
      <c r="U9" s="21">
        <f t="shared" si="10"/>
        <v>32.568112772400596</v>
      </c>
      <c r="V9" s="21">
        <f t="shared" si="11"/>
        <v>9.03297456155961</v>
      </c>
      <c r="W9" s="21">
        <f t="shared" si="12"/>
        <v>2.505353319057815</v>
      </c>
      <c r="X9" s="22">
        <f t="shared" si="13"/>
        <v>1060.6819695558029</v>
      </c>
      <c r="Z9" s="5" t="str">
        <f t="shared" si="14"/>
        <v>Grant</v>
      </c>
      <c r="AA9" s="21">
        <f t="shared" si="15"/>
        <v>0.27735640148036095</v>
      </c>
      <c r="AB9" s="21">
        <f t="shared" si="15"/>
        <v>0.030704880168783876</v>
      </c>
      <c r="AC9" s="21">
        <f t="shared" si="16"/>
        <v>0.03731130634814963</v>
      </c>
      <c r="AD9" s="21">
        <f t="shared" si="17"/>
        <v>0.0680161865169335</v>
      </c>
      <c r="AE9" s="21">
        <f t="shared" si="18"/>
        <v>14.702382641682464</v>
      </c>
      <c r="AF9" s="22">
        <f t="shared" si="19"/>
        <v>4.077799942684371</v>
      </c>
      <c r="AH9" s="5" t="str">
        <f t="shared" si="20"/>
        <v>Grant</v>
      </c>
      <c r="AI9" s="21">
        <f t="shared" si="21"/>
        <v>0.27735640148036095</v>
      </c>
      <c r="AJ9" s="21">
        <f t="shared" si="21"/>
        <v>0.030704880168783876</v>
      </c>
      <c r="AK9" s="21">
        <f t="shared" si="22"/>
        <v>32.568112772400596</v>
      </c>
      <c r="AL9" s="21">
        <f t="shared" si="23"/>
        <v>9.03297456155961</v>
      </c>
      <c r="AM9" s="21">
        <f t="shared" si="24"/>
        <v>2.505353319057815</v>
      </c>
      <c r="AN9" s="21">
        <f t="shared" si="25"/>
        <v>1060.6819695558029</v>
      </c>
      <c r="AO9" s="22">
        <f t="shared" si="26"/>
        <v>34544.41000014536</v>
      </c>
      <c r="AQ9" s="5" t="str">
        <f t="shared" si="27"/>
        <v>Grant</v>
      </c>
      <c r="AR9" s="21">
        <f t="shared" si="28"/>
        <v>0.27735640148036095</v>
      </c>
      <c r="AS9" s="21">
        <f t="shared" si="28"/>
        <v>0.030704880168783876</v>
      </c>
      <c r="AT9" s="21">
        <f t="shared" si="29"/>
        <v>32.568112772400596</v>
      </c>
      <c r="AU9" s="21">
        <f t="shared" si="30"/>
        <v>0.4142696715974588</v>
      </c>
      <c r="AV9" s="21">
        <f t="shared" si="31"/>
        <v>0.018745243534157404</v>
      </c>
      <c r="AW9" s="22">
        <f t="shared" si="32"/>
        <v>0.6104972053665514</v>
      </c>
    </row>
    <row r="10" spans="2:49" ht="13.5">
      <c r="B10" s="5" t="s">
        <v>11</v>
      </c>
      <c r="C10" s="6">
        <v>98</v>
      </c>
      <c r="D10" s="6">
        <v>28</v>
      </c>
      <c r="E10" s="6">
        <v>40</v>
      </c>
      <c r="F10" s="6">
        <v>88</v>
      </c>
      <c r="G10" s="6">
        <v>26</v>
      </c>
      <c r="H10" s="7">
        <v>40</v>
      </c>
      <c r="I10" s="6"/>
      <c r="J10" s="25">
        <f t="shared" si="0"/>
        <v>10</v>
      </c>
      <c r="K10" s="21">
        <f t="shared" si="1"/>
        <v>27.018512172212592</v>
      </c>
      <c r="L10" s="21">
        <f t="shared" si="2"/>
        <v>0.3701166050988026</v>
      </c>
      <c r="M10" s="21">
        <f t="shared" si="3"/>
        <v>0.05085616438356165</v>
      </c>
      <c r="N10" s="21">
        <f t="shared" si="4"/>
        <v>0.9903536977491961</v>
      </c>
      <c r="O10" s="21">
        <f t="shared" si="5"/>
        <v>0.3665463484579782</v>
      </c>
      <c r="P10" s="22">
        <f t="shared" si="6"/>
        <v>0.04987974874207455</v>
      </c>
      <c r="R10" s="5" t="str">
        <f t="shared" si="7"/>
        <v>Peck</v>
      </c>
      <c r="S10" s="21">
        <f t="shared" si="8"/>
        <v>0.3665463484579782</v>
      </c>
      <c r="T10" s="21">
        <f t="shared" si="9"/>
        <v>0.04987974874207455</v>
      </c>
      <c r="U10" s="21">
        <f t="shared" si="10"/>
        <v>20.048216464981515</v>
      </c>
      <c r="V10" s="21">
        <f t="shared" si="11"/>
        <v>7.3486005383340895</v>
      </c>
      <c r="W10" s="21">
        <f t="shared" si="12"/>
        <v>2.6936026936026933</v>
      </c>
      <c r="X10" s="22">
        <f t="shared" si="13"/>
        <v>401.9309834267559</v>
      </c>
      <c r="Z10" s="5" t="str">
        <f t="shared" si="14"/>
        <v>Peck</v>
      </c>
      <c r="AA10" s="21">
        <f t="shared" si="15"/>
        <v>0.3665463484579782</v>
      </c>
      <c r="AB10" s="21">
        <f t="shared" si="15"/>
        <v>0.04987974874207455</v>
      </c>
      <c r="AC10" s="21">
        <f t="shared" si="16"/>
        <v>0.03731130634814963</v>
      </c>
      <c r="AD10" s="21">
        <f t="shared" si="17"/>
        <v>0.08719105509022418</v>
      </c>
      <c r="AE10" s="21">
        <f t="shared" si="18"/>
        <v>11.46906639637762</v>
      </c>
      <c r="AF10" s="22">
        <f t="shared" si="19"/>
        <v>4.203944407814319</v>
      </c>
      <c r="AH10" s="5" t="str">
        <f t="shared" si="20"/>
        <v>Peck</v>
      </c>
      <c r="AI10" s="21">
        <f t="shared" si="21"/>
        <v>0.3665463484579782</v>
      </c>
      <c r="AJ10" s="21">
        <f t="shared" si="21"/>
        <v>0.04987974874207455</v>
      </c>
      <c r="AK10" s="21">
        <f t="shared" si="22"/>
        <v>20.048216464981515</v>
      </c>
      <c r="AL10" s="21">
        <f t="shared" si="23"/>
        <v>7.3486005383340895</v>
      </c>
      <c r="AM10" s="21">
        <f t="shared" si="24"/>
        <v>2.6936026936026933</v>
      </c>
      <c r="AN10" s="21">
        <f t="shared" si="25"/>
        <v>401.9309834267559</v>
      </c>
      <c r="AO10" s="22">
        <f t="shared" si="26"/>
        <v>8057.9993597225</v>
      </c>
      <c r="AQ10" s="5" t="str">
        <f t="shared" si="27"/>
        <v>Peck</v>
      </c>
      <c r="AR10" s="21">
        <f t="shared" si="28"/>
        <v>0.3665463484579782</v>
      </c>
      <c r="AS10" s="21">
        <f t="shared" si="28"/>
        <v>0.04987974874207455</v>
      </c>
      <c r="AT10" s="21">
        <f t="shared" si="29"/>
        <v>20.048216464981515</v>
      </c>
      <c r="AU10" s="21">
        <f t="shared" si="30"/>
        <v>0.4142696715974588</v>
      </c>
      <c r="AV10" s="21">
        <f t="shared" si="31"/>
        <v>0.0022775155714752876</v>
      </c>
      <c r="AW10" s="22">
        <f t="shared" si="32"/>
        <v>0.045660125179302645</v>
      </c>
    </row>
    <row r="11" spans="2:49" ht="13.5">
      <c r="B11" s="5" t="s">
        <v>12</v>
      </c>
      <c r="C11" s="6">
        <v>94</v>
      </c>
      <c r="D11" s="6">
        <v>19</v>
      </c>
      <c r="E11" s="6">
        <v>200</v>
      </c>
      <c r="F11" s="6">
        <v>82</v>
      </c>
      <c r="G11" s="6">
        <v>17</v>
      </c>
      <c r="H11" s="7">
        <v>200</v>
      </c>
      <c r="I11" s="6"/>
      <c r="J11" s="25">
        <f t="shared" si="0"/>
        <v>12</v>
      </c>
      <c r="K11" s="21">
        <f t="shared" si="1"/>
        <v>18.027756377319946</v>
      </c>
      <c r="L11" s="21">
        <f t="shared" si="2"/>
        <v>0.665640235470275</v>
      </c>
      <c r="M11" s="21">
        <f t="shared" si="3"/>
        <v>0.010553846153846153</v>
      </c>
      <c r="N11" s="21">
        <f t="shared" si="4"/>
        <v>0.9981143934632307</v>
      </c>
      <c r="O11" s="21">
        <f t="shared" si="5"/>
        <v>0.6643850998911356</v>
      </c>
      <c r="P11" s="22">
        <f t="shared" si="6"/>
        <v>0.01051408287558142</v>
      </c>
      <c r="R11" s="5" t="str">
        <f t="shared" si="7"/>
        <v>Donat</v>
      </c>
      <c r="S11" s="21">
        <f t="shared" si="8"/>
        <v>0.6643850998911356</v>
      </c>
      <c r="T11" s="21">
        <f t="shared" si="9"/>
        <v>0.01051408287558142</v>
      </c>
      <c r="U11" s="21">
        <f t="shared" si="10"/>
        <v>95.1105304983342</v>
      </c>
      <c r="V11" s="21">
        <f t="shared" si="11"/>
        <v>63.19001930583467</v>
      </c>
      <c r="W11" s="21">
        <f t="shared" si="12"/>
        <v>41.982507288629755</v>
      </c>
      <c r="X11" s="22">
        <f t="shared" si="13"/>
        <v>9046.01301167456</v>
      </c>
      <c r="Z11" s="5" t="str">
        <f t="shared" si="14"/>
        <v>Donat</v>
      </c>
      <c r="AA11" s="21">
        <f t="shared" si="15"/>
        <v>0.6643850998911356</v>
      </c>
      <c r="AB11" s="21">
        <f t="shared" si="15"/>
        <v>0.01051408287558142</v>
      </c>
      <c r="AC11" s="21">
        <f t="shared" si="16"/>
        <v>0.03731130634814963</v>
      </c>
      <c r="AD11" s="21">
        <f t="shared" si="17"/>
        <v>0.04782538922373105</v>
      </c>
      <c r="AE11" s="21">
        <f t="shared" si="18"/>
        <v>20.909395955397642</v>
      </c>
      <c r="AF11" s="22">
        <f t="shared" si="19"/>
        <v>13.891891120490168</v>
      </c>
      <c r="AH11" s="5" t="str">
        <f t="shared" si="20"/>
        <v>Donat</v>
      </c>
      <c r="AI11" s="21">
        <f t="shared" si="21"/>
        <v>0.6643850998911356</v>
      </c>
      <c r="AJ11" s="21">
        <f t="shared" si="21"/>
        <v>0.01051408287558142</v>
      </c>
      <c r="AK11" s="21">
        <f t="shared" si="22"/>
        <v>95.1105304983342</v>
      </c>
      <c r="AL11" s="21">
        <f t="shared" si="23"/>
        <v>63.19001930583467</v>
      </c>
      <c r="AM11" s="21">
        <f t="shared" si="24"/>
        <v>41.982507288629755</v>
      </c>
      <c r="AN11" s="21">
        <f t="shared" si="25"/>
        <v>9046.01301167456</v>
      </c>
      <c r="AO11" s="22">
        <f t="shared" si="26"/>
        <v>860371.0964352012</v>
      </c>
      <c r="AQ11" s="5" t="str">
        <f t="shared" si="27"/>
        <v>Donat</v>
      </c>
      <c r="AR11" s="21">
        <f t="shared" si="28"/>
        <v>0.6643850998911356</v>
      </c>
      <c r="AS11" s="21">
        <f t="shared" si="28"/>
        <v>0.01051408287558142</v>
      </c>
      <c r="AT11" s="21">
        <f t="shared" si="29"/>
        <v>95.1105304983342</v>
      </c>
      <c r="AU11" s="21">
        <f t="shared" si="30"/>
        <v>0.4142696715974588</v>
      </c>
      <c r="AV11" s="21">
        <f t="shared" si="31"/>
        <v>0.06255772747052937</v>
      </c>
      <c r="AW11" s="22">
        <f t="shared" si="32"/>
        <v>5.949898646492263</v>
      </c>
    </row>
    <row r="12" spans="2:49" ht="13.5">
      <c r="B12" s="5" t="s">
        <v>13</v>
      </c>
      <c r="C12" s="6">
        <v>98</v>
      </c>
      <c r="D12" s="6">
        <v>21</v>
      </c>
      <c r="E12" s="6">
        <v>50</v>
      </c>
      <c r="F12" s="6">
        <v>88</v>
      </c>
      <c r="G12" s="6">
        <v>22</v>
      </c>
      <c r="H12" s="7">
        <v>45</v>
      </c>
      <c r="I12" s="6"/>
      <c r="J12" s="25">
        <f t="shared" si="0"/>
        <v>10</v>
      </c>
      <c r="K12" s="21">
        <f t="shared" si="1"/>
        <v>21.478921900819543</v>
      </c>
      <c r="L12" s="21">
        <f t="shared" si="2"/>
        <v>0.46557271571523534</v>
      </c>
      <c r="M12" s="21">
        <f t="shared" si="3"/>
        <v>0.04336305355705622</v>
      </c>
      <c r="N12" s="21">
        <f t="shared" si="4"/>
        <v>0.9919137466307277</v>
      </c>
      <c r="O12" s="21">
        <f t="shared" si="5"/>
        <v>0.46180797677414176</v>
      </c>
      <c r="P12" s="22">
        <f t="shared" si="6"/>
        <v>0.04266459968258572</v>
      </c>
      <c r="R12" s="5" t="str">
        <f t="shared" si="7"/>
        <v>Stewart</v>
      </c>
      <c r="S12" s="21">
        <f t="shared" si="8"/>
        <v>0.46180797677414176</v>
      </c>
      <c r="T12" s="21">
        <f t="shared" si="9"/>
        <v>0.04266459968258572</v>
      </c>
      <c r="U12" s="21">
        <f t="shared" si="10"/>
        <v>23.43863548327554</v>
      </c>
      <c r="V12" s="21">
        <f t="shared" si="11"/>
        <v>10.824148830878086</v>
      </c>
      <c r="W12" s="21">
        <f t="shared" si="12"/>
        <v>4.99867827189</v>
      </c>
      <c r="X12" s="22">
        <f t="shared" si="13"/>
        <v>549.3696333178632</v>
      </c>
      <c r="Z12" s="5" t="str">
        <f t="shared" si="14"/>
        <v>Stewart</v>
      </c>
      <c r="AA12" s="21">
        <f t="shared" si="15"/>
        <v>0.46180797677414176</v>
      </c>
      <c r="AB12" s="21">
        <f t="shared" si="15"/>
        <v>0.04266459968258572</v>
      </c>
      <c r="AC12" s="21">
        <f t="shared" si="16"/>
        <v>0.03731130634814963</v>
      </c>
      <c r="AD12" s="21">
        <f t="shared" si="17"/>
        <v>0.07997590603073534</v>
      </c>
      <c r="AE12" s="21">
        <f t="shared" si="18"/>
        <v>12.50376581686605</v>
      </c>
      <c r="AF12" s="22">
        <f t="shared" si="19"/>
        <v>5.774338793944584</v>
      </c>
      <c r="AH12" s="5" t="str">
        <f t="shared" si="20"/>
        <v>Stewart</v>
      </c>
      <c r="AI12" s="21">
        <f t="shared" si="21"/>
        <v>0.46180797677414176</v>
      </c>
      <c r="AJ12" s="21">
        <f t="shared" si="21"/>
        <v>0.04266459968258572</v>
      </c>
      <c r="AK12" s="21">
        <f t="shared" si="22"/>
        <v>23.43863548327554</v>
      </c>
      <c r="AL12" s="21">
        <f t="shared" si="23"/>
        <v>10.824148830878086</v>
      </c>
      <c r="AM12" s="21">
        <f t="shared" si="24"/>
        <v>4.99867827189</v>
      </c>
      <c r="AN12" s="21">
        <f t="shared" si="25"/>
        <v>549.3696333178632</v>
      </c>
      <c r="AO12" s="22">
        <f t="shared" si="26"/>
        <v>12876.47458091814</v>
      </c>
      <c r="AQ12" s="5" t="str">
        <f t="shared" si="27"/>
        <v>Stewart</v>
      </c>
      <c r="AR12" s="21">
        <f t="shared" si="28"/>
        <v>0.46180797677414176</v>
      </c>
      <c r="AS12" s="21">
        <f t="shared" si="28"/>
        <v>0.04266459968258572</v>
      </c>
      <c r="AT12" s="21">
        <f t="shared" si="29"/>
        <v>23.43863548327554</v>
      </c>
      <c r="AU12" s="21">
        <f t="shared" si="30"/>
        <v>0.4142696715974588</v>
      </c>
      <c r="AV12" s="21">
        <f t="shared" si="31"/>
        <v>0.0022598904590714407</v>
      </c>
      <c r="AW12" s="22">
        <f t="shared" si="32"/>
        <v>0.05296874870230772</v>
      </c>
    </row>
    <row r="13" spans="2:49" ht="13.5">
      <c r="B13" s="5" t="s">
        <v>14</v>
      </c>
      <c r="C13" s="6">
        <v>96</v>
      </c>
      <c r="D13" s="6">
        <v>21</v>
      </c>
      <c r="E13" s="6">
        <v>85</v>
      </c>
      <c r="F13" s="6">
        <v>92</v>
      </c>
      <c r="G13" s="6">
        <v>22</v>
      </c>
      <c r="H13" s="7">
        <v>85</v>
      </c>
      <c r="I13" s="6"/>
      <c r="J13" s="25">
        <f t="shared" si="0"/>
        <v>4</v>
      </c>
      <c r="K13" s="21">
        <f t="shared" si="1"/>
        <v>21.50581316760657</v>
      </c>
      <c r="L13" s="21">
        <f t="shared" si="2"/>
        <v>0.18599622199011084</v>
      </c>
      <c r="M13" s="21">
        <f t="shared" si="3"/>
        <v>0.023631160572337044</v>
      </c>
      <c r="N13" s="21">
        <f t="shared" si="4"/>
        <v>0.9955290611028316</v>
      </c>
      <c r="O13" s="21">
        <f t="shared" si="5"/>
        <v>0.18516464424648887</v>
      </c>
      <c r="P13" s="22">
        <f t="shared" si="6"/>
        <v>0.0234203259925918</v>
      </c>
      <c r="R13" s="5" t="str">
        <f t="shared" si="7"/>
        <v>Young</v>
      </c>
      <c r="S13" s="21">
        <f t="shared" si="8"/>
        <v>0.18516464424648887</v>
      </c>
      <c r="T13" s="21">
        <f t="shared" si="9"/>
        <v>0.0234203259925918</v>
      </c>
      <c r="U13" s="21">
        <f t="shared" si="10"/>
        <v>42.69795391901526</v>
      </c>
      <c r="V13" s="21">
        <f t="shared" si="11"/>
        <v>7.906151447467437</v>
      </c>
      <c r="W13" s="21">
        <f t="shared" si="12"/>
        <v>1.4639397201291708</v>
      </c>
      <c r="X13" s="22">
        <f t="shared" si="13"/>
        <v>1823.1152688703507</v>
      </c>
      <c r="Z13" s="5" t="str">
        <f t="shared" si="14"/>
        <v>Young</v>
      </c>
      <c r="AA13" s="21">
        <f t="shared" si="15"/>
        <v>0.18516464424648887</v>
      </c>
      <c r="AB13" s="21">
        <f t="shared" si="15"/>
        <v>0.0234203259925918</v>
      </c>
      <c r="AC13" s="21">
        <f t="shared" si="16"/>
        <v>0.03731130634814963</v>
      </c>
      <c r="AD13" s="21">
        <f t="shared" si="17"/>
        <v>0.06073163234074143</v>
      </c>
      <c r="AE13" s="21">
        <f t="shared" si="18"/>
        <v>16.465883781772753</v>
      </c>
      <c r="AF13" s="22">
        <f t="shared" si="19"/>
        <v>3.0488995126559826</v>
      </c>
      <c r="AH13" s="5" t="str">
        <f t="shared" si="20"/>
        <v>Young</v>
      </c>
      <c r="AI13" s="21">
        <f t="shared" si="21"/>
        <v>0.18516464424648887</v>
      </c>
      <c r="AJ13" s="21">
        <f t="shared" si="21"/>
        <v>0.0234203259925918</v>
      </c>
      <c r="AK13" s="21">
        <f t="shared" si="22"/>
        <v>42.69795391901526</v>
      </c>
      <c r="AL13" s="21">
        <f t="shared" si="23"/>
        <v>7.906151447467437</v>
      </c>
      <c r="AM13" s="21">
        <f t="shared" si="24"/>
        <v>1.4639397201291708</v>
      </c>
      <c r="AN13" s="21">
        <f t="shared" si="25"/>
        <v>1823.1152688703507</v>
      </c>
      <c r="AO13" s="22">
        <f t="shared" si="26"/>
        <v>77843.29173927936</v>
      </c>
      <c r="AQ13" s="5" t="str">
        <f t="shared" si="27"/>
        <v>Young</v>
      </c>
      <c r="AR13" s="21">
        <f t="shared" si="28"/>
        <v>0.18516464424648887</v>
      </c>
      <c r="AS13" s="21">
        <f t="shared" si="28"/>
        <v>0.0234203259925918</v>
      </c>
      <c r="AT13" s="21">
        <f t="shared" si="29"/>
        <v>42.69795391901526</v>
      </c>
      <c r="AU13" s="21">
        <f t="shared" si="30"/>
        <v>0.4142696715974588</v>
      </c>
      <c r="AV13" s="21">
        <f t="shared" si="31"/>
        <v>0.052489113557488684</v>
      </c>
      <c r="AW13" s="22">
        <f t="shared" si="32"/>
        <v>2.2411777519276113</v>
      </c>
    </row>
    <row r="14" spans="2:49" ht="13.5">
      <c r="B14" s="5"/>
      <c r="C14" s="6"/>
      <c r="D14" s="6"/>
      <c r="E14" s="6"/>
      <c r="F14" s="6"/>
      <c r="G14" s="6"/>
      <c r="H14" s="7"/>
      <c r="I14" s="6"/>
      <c r="J14" s="5"/>
      <c r="K14" s="6"/>
      <c r="L14" s="6"/>
      <c r="M14" s="6"/>
      <c r="N14" s="6"/>
      <c r="O14" s="6"/>
      <c r="P14" s="7"/>
      <c r="R14" s="5"/>
      <c r="S14" s="21"/>
      <c r="T14" s="21"/>
      <c r="U14" s="21"/>
      <c r="V14" s="21"/>
      <c r="W14" s="21"/>
      <c r="X14" s="22"/>
      <c r="Z14" s="5"/>
      <c r="AA14" s="21"/>
      <c r="AB14" s="21"/>
      <c r="AC14" s="21"/>
      <c r="AD14" s="21"/>
      <c r="AE14" s="21"/>
      <c r="AF14" s="22"/>
      <c r="AH14" s="5"/>
      <c r="AI14" s="21"/>
      <c r="AJ14" s="21"/>
      <c r="AK14" s="21"/>
      <c r="AL14" s="21"/>
      <c r="AM14" s="21"/>
      <c r="AN14" s="21"/>
      <c r="AO14" s="22"/>
      <c r="AQ14" s="5"/>
      <c r="AR14" s="21"/>
      <c r="AS14" s="21"/>
      <c r="AT14" s="21"/>
      <c r="AU14" s="21"/>
      <c r="AV14" s="21"/>
      <c r="AW14" s="22"/>
    </row>
    <row r="15" spans="2:49" ht="15" thickBot="1">
      <c r="B15" s="8"/>
      <c r="C15" s="9"/>
      <c r="D15" s="9"/>
      <c r="E15" s="9"/>
      <c r="F15" s="9"/>
      <c r="G15" s="9"/>
      <c r="H15" s="10"/>
      <c r="J15" s="8"/>
      <c r="K15" s="9"/>
      <c r="L15" s="9"/>
      <c r="M15" s="9"/>
      <c r="N15" s="9"/>
      <c r="O15" s="9"/>
      <c r="P15" s="10"/>
      <c r="R15" s="44"/>
      <c r="S15" s="45"/>
      <c r="T15" s="45"/>
      <c r="U15" s="45">
        <f>SUM(U8:U14)</f>
        <v>244.21496297257175</v>
      </c>
      <c r="V15" s="45">
        <f>SUM(V8:V14)</f>
        <v>101.17085250983287</v>
      </c>
      <c r="W15" s="45">
        <f>SUM(W8:W14)</f>
        <v>53.9152677339874</v>
      </c>
      <c r="X15" s="46">
        <f>SUM(X8:X14)</f>
        <v>13802.325258895105</v>
      </c>
      <c r="Z15" s="8"/>
      <c r="AA15" s="23"/>
      <c r="AB15" s="23"/>
      <c r="AC15" s="23"/>
      <c r="AD15" s="23"/>
      <c r="AE15" s="23">
        <f>SUM(AE8:AE14)</f>
        <v>90.28362921358851</v>
      </c>
      <c r="AF15" s="24">
        <f>SUM(AF8:AF14)</f>
        <v>32.34225190864356</v>
      </c>
      <c r="AH15" s="8"/>
      <c r="AI15" s="23"/>
      <c r="AJ15" s="23"/>
      <c r="AK15" s="23">
        <f>SUM(AK8:AK14)</f>
        <v>244.21496297257175</v>
      </c>
      <c r="AL15" s="23">
        <f>SUM(AL8:AL14)</f>
        <v>101.17085250983287</v>
      </c>
      <c r="AM15" s="23">
        <f>SUM(AM8:AM14)</f>
        <v>53.9152677339874</v>
      </c>
      <c r="AN15" s="23">
        <f>SUM(AN8:AN14)</f>
        <v>13802.325258895105</v>
      </c>
      <c r="AO15" s="24">
        <f>SUM(AO8:AO14)</f>
        <v>1021653.5234801653</v>
      </c>
      <c r="AQ15" s="8"/>
      <c r="AR15" s="23"/>
      <c r="AS15" s="23"/>
      <c r="AT15" s="23"/>
      <c r="AU15" s="23"/>
      <c r="AV15" s="23"/>
      <c r="AW15" s="24">
        <f>SUM(AW8:AW14)</f>
        <v>12.003251889504007</v>
      </c>
    </row>
    <row r="16" spans="2:49" ht="13.5">
      <c r="B16" s="6"/>
      <c r="C16" s="6"/>
      <c r="D16" s="6"/>
      <c r="E16" s="6"/>
      <c r="F16" s="6"/>
      <c r="G16" s="6"/>
      <c r="H16" s="6"/>
      <c r="J16" s="6"/>
      <c r="K16" s="6"/>
      <c r="L16" s="6"/>
      <c r="M16" s="6"/>
      <c r="N16" s="6"/>
      <c r="O16" s="6"/>
      <c r="P16" s="6"/>
      <c r="R16" s="6"/>
      <c r="S16" s="21"/>
      <c r="T16" s="21"/>
      <c r="U16" s="21"/>
      <c r="V16" s="21"/>
      <c r="W16" s="21"/>
      <c r="X16" s="21"/>
      <c r="Z16" s="6"/>
      <c r="AA16" s="21"/>
      <c r="AB16" s="21"/>
      <c r="AC16" s="21"/>
      <c r="AD16" s="21"/>
      <c r="AE16" s="21"/>
      <c r="AF16" s="21"/>
      <c r="AH16" s="6"/>
      <c r="AI16" s="21"/>
      <c r="AJ16" s="21"/>
      <c r="AK16" s="21"/>
      <c r="AL16" s="21"/>
      <c r="AM16" s="21"/>
      <c r="AN16" s="21"/>
      <c r="AO16" s="21"/>
      <c r="AQ16" s="6"/>
      <c r="AR16" s="21"/>
      <c r="AS16" s="21"/>
      <c r="AT16" s="21"/>
      <c r="AU16" s="21"/>
      <c r="AV16" s="21"/>
      <c r="AW16" s="21"/>
    </row>
    <row r="17" spans="2:49" ht="18.75" customHeight="1">
      <c r="B17" s="6"/>
      <c r="C17" s="6"/>
      <c r="D17" s="6"/>
      <c r="E17" s="6"/>
      <c r="F17" s="6"/>
      <c r="G17" s="6"/>
      <c r="H17" s="6"/>
      <c r="J17" s="6"/>
      <c r="K17" s="6"/>
      <c r="L17" s="6"/>
      <c r="M17" s="6"/>
      <c r="N17" s="6"/>
      <c r="O17" s="6"/>
      <c r="P17" s="6"/>
      <c r="R17" s="90" t="s">
        <v>105</v>
      </c>
      <c r="S17" s="90"/>
      <c r="T17" s="90"/>
      <c r="U17" s="90"/>
      <c r="V17" s="90"/>
      <c r="W17" s="90"/>
      <c r="X17" s="90"/>
      <c r="Z17" s="90" t="s">
        <v>145</v>
      </c>
      <c r="AA17" s="90"/>
      <c r="AB17" s="90"/>
      <c r="AC17" s="90"/>
      <c r="AD17" s="90"/>
      <c r="AE17" s="90"/>
      <c r="AF17" s="90"/>
      <c r="AH17" s="90" t="s">
        <v>163</v>
      </c>
      <c r="AI17" s="90"/>
      <c r="AJ17" s="90"/>
      <c r="AK17" s="90"/>
      <c r="AL17" s="90"/>
      <c r="AM17" s="90"/>
      <c r="AN17" s="90"/>
      <c r="AO17" s="90"/>
      <c r="AQ17" s="6"/>
      <c r="AR17" s="21"/>
      <c r="AS17" s="21"/>
      <c r="AT17" s="21"/>
      <c r="AU17" s="21"/>
      <c r="AV17" s="21"/>
      <c r="AW17" s="21"/>
    </row>
    <row r="18" spans="2:49" ht="13.5" customHeight="1" thickBot="1">
      <c r="B18" s="6"/>
      <c r="C18" s="6"/>
      <c r="D18" s="6"/>
      <c r="E18" s="6"/>
      <c r="F18" s="6"/>
      <c r="G18" s="6"/>
      <c r="H18" s="6"/>
      <c r="J18" s="6"/>
      <c r="K18" s="6"/>
      <c r="L18" s="6"/>
      <c r="M18" s="6"/>
      <c r="N18" s="6"/>
      <c r="O18" s="6"/>
      <c r="P18" s="6"/>
      <c r="R18" s="103"/>
      <c r="S18" s="103"/>
      <c r="T18" s="103"/>
      <c r="U18" s="103"/>
      <c r="V18" s="103"/>
      <c r="W18" s="103"/>
      <c r="X18" s="103"/>
      <c r="Z18" s="103"/>
      <c r="AA18" s="103"/>
      <c r="AB18" s="103"/>
      <c r="AC18" s="103"/>
      <c r="AD18" s="103"/>
      <c r="AE18" s="103"/>
      <c r="AF18" s="103"/>
      <c r="AN18" s="21"/>
      <c r="AO18" s="21"/>
      <c r="AQ18" s="6"/>
      <c r="AR18" s="21"/>
      <c r="AS18" s="21"/>
      <c r="AT18" s="21"/>
      <c r="AU18" s="21"/>
      <c r="AV18" s="21"/>
      <c r="AW18" s="21"/>
    </row>
    <row r="19" spans="2:49" ht="13.5">
      <c r="B19" s="6"/>
      <c r="C19" s="6"/>
      <c r="D19" s="6"/>
      <c r="E19" s="6"/>
      <c r="F19" s="6"/>
      <c r="G19" s="6"/>
      <c r="H19" s="6"/>
      <c r="J19" s="6"/>
      <c r="K19" s="6"/>
      <c r="L19" s="6"/>
      <c r="M19" s="6"/>
      <c r="N19" s="6"/>
      <c r="O19" s="6"/>
      <c r="P19" s="6"/>
      <c r="R19" s="100" t="s">
        <v>173</v>
      </c>
      <c r="S19" s="101"/>
      <c r="T19" s="101"/>
      <c r="U19" s="101"/>
      <c r="V19" s="101"/>
      <c r="W19" s="101"/>
      <c r="X19" s="102"/>
      <c r="Z19" s="100" t="s">
        <v>174</v>
      </c>
      <c r="AA19" s="101"/>
      <c r="AB19" s="101"/>
      <c r="AC19" s="101"/>
      <c r="AD19" s="101"/>
      <c r="AE19" s="101"/>
      <c r="AF19" s="102"/>
      <c r="AH19" s="71" t="s">
        <v>80</v>
      </c>
      <c r="AI19" s="53"/>
      <c r="AJ19" s="53"/>
      <c r="AK19" s="53"/>
      <c r="AL19" s="53"/>
      <c r="AM19" s="53"/>
      <c r="AN19" s="54"/>
      <c r="AO19" s="55"/>
      <c r="AQ19" s="6"/>
      <c r="AR19" s="21"/>
      <c r="AS19" s="21"/>
      <c r="AT19" s="21"/>
      <c r="AU19" s="21"/>
      <c r="AV19" s="21"/>
      <c r="AW19" s="21"/>
    </row>
    <row r="20" spans="18:41" ht="13.5">
      <c r="R20" s="5"/>
      <c r="S20" s="6"/>
      <c r="T20" s="6"/>
      <c r="U20" s="6"/>
      <c r="V20" s="6"/>
      <c r="W20" s="6"/>
      <c r="X20" s="7"/>
      <c r="Z20" s="5"/>
      <c r="AA20" s="6"/>
      <c r="AB20" s="6"/>
      <c r="AC20" s="6"/>
      <c r="AD20" s="6"/>
      <c r="AE20" s="6"/>
      <c r="AF20" s="7"/>
      <c r="AH20" s="5"/>
      <c r="AI20" s="6"/>
      <c r="AJ20" s="6"/>
      <c r="AK20" s="6"/>
      <c r="AL20" s="6"/>
      <c r="AM20" s="6"/>
      <c r="AN20" s="36" t="s">
        <v>81</v>
      </c>
      <c r="AO20" s="65" t="s">
        <v>176</v>
      </c>
    </row>
    <row r="21" spans="18:41" ht="12.75" customHeight="1">
      <c r="R21" s="5"/>
      <c r="S21" s="6"/>
      <c r="T21" s="6"/>
      <c r="U21" s="6"/>
      <c r="V21" s="6"/>
      <c r="W21" s="6"/>
      <c r="X21" s="7"/>
      <c r="Z21" s="5"/>
      <c r="AA21" s="6"/>
      <c r="AB21" s="6"/>
      <c r="AC21" s="6"/>
      <c r="AD21" s="6"/>
      <c r="AE21" s="6"/>
      <c r="AF21" s="7"/>
      <c r="AH21" s="40" t="s">
        <v>116</v>
      </c>
      <c r="AI21" s="6"/>
      <c r="AJ21" s="6"/>
      <c r="AK21" s="6"/>
      <c r="AL21" s="6"/>
      <c r="AM21" s="6"/>
      <c r="AN21" s="6"/>
      <c r="AO21" s="7"/>
    </row>
    <row r="22" spans="18:41" ht="13.5">
      <c r="R22" s="5"/>
      <c r="S22" s="6"/>
      <c r="T22" s="6"/>
      <c r="U22" s="6"/>
      <c r="V22" s="6"/>
      <c r="W22" s="36" t="s">
        <v>81</v>
      </c>
      <c r="X22" s="65" t="s">
        <v>176</v>
      </c>
      <c r="Z22" s="5"/>
      <c r="AA22" s="6"/>
      <c r="AB22" s="6"/>
      <c r="AC22" s="6"/>
      <c r="AD22" s="6"/>
      <c r="AE22" s="36" t="s">
        <v>81</v>
      </c>
      <c r="AF22" s="65" t="s">
        <v>176</v>
      </c>
      <c r="AH22" s="5" t="s">
        <v>117</v>
      </c>
      <c r="AI22" s="6"/>
      <c r="AJ22" s="6"/>
      <c r="AK22" s="6"/>
      <c r="AL22" s="37" t="s">
        <v>21</v>
      </c>
      <c r="AM22" s="6">
        <f>W15-(V15^2/U15)</f>
        <v>12.003251889503993</v>
      </c>
      <c r="AN22" s="6">
        <v>16.3</v>
      </c>
      <c r="AO22" s="64" t="s">
        <v>181</v>
      </c>
    </row>
    <row r="23" spans="18:41" ht="13.5">
      <c r="R23" s="40" t="s">
        <v>75</v>
      </c>
      <c r="S23" s="6"/>
      <c r="T23" s="6"/>
      <c r="U23" s="6"/>
      <c r="V23" s="6"/>
      <c r="Z23" s="40" t="s">
        <v>75</v>
      </c>
      <c r="AA23" s="6"/>
      <c r="AB23" s="6"/>
      <c r="AC23" s="6"/>
      <c r="AD23" s="6"/>
      <c r="AE23" s="36"/>
      <c r="AF23" s="65"/>
      <c r="AH23" s="5" t="s">
        <v>118</v>
      </c>
      <c r="AI23" s="6"/>
      <c r="AJ23" s="6"/>
      <c r="AK23" s="6"/>
      <c r="AL23" s="37" t="s">
        <v>22</v>
      </c>
      <c r="AM23" s="6">
        <f>COUNT(AI8:AI13)-1</f>
        <v>5</v>
      </c>
      <c r="AN23" s="6">
        <v>16.4</v>
      </c>
      <c r="AO23" s="64" t="s">
        <v>181</v>
      </c>
    </row>
    <row r="24" spans="18:41" ht="13.5">
      <c r="R24" s="96" t="s">
        <v>60</v>
      </c>
      <c r="S24" s="97"/>
      <c r="T24" s="6"/>
      <c r="U24" s="37" t="s">
        <v>19</v>
      </c>
      <c r="V24" s="38">
        <f>V15/U15</f>
        <v>0.4142696715974588</v>
      </c>
      <c r="W24" s="6">
        <v>11.3</v>
      </c>
      <c r="X24" s="64" t="s">
        <v>225</v>
      </c>
      <c r="Z24" s="96" t="s">
        <v>60</v>
      </c>
      <c r="AA24" s="97"/>
      <c r="AB24" s="6"/>
      <c r="AC24" s="37" t="s">
        <v>30</v>
      </c>
      <c r="AD24" s="38">
        <f>AF15/AE15</f>
        <v>0.35822941756284377</v>
      </c>
      <c r="AE24" s="6">
        <v>12.7</v>
      </c>
      <c r="AF24" s="64" t="s">
        <v>227</v>
      </c>
      <c r="AH24" s="5" t="s">
        <v>128</v>
      </c>
      <c r="AI24" s="6"/>
      <c r="AJ24" s="6"/>
      <c r="AK24" s="6"/>
      <c r="AL24" s="37" t="s">
        <v>24</v>
      </c>
      <c r="AM24" s="6">
        <f>CHIDIST(AM22,AM23)</f>
        <v>0.03474324926650795</v>
      </c>
      <c r="AN24" s="6"/>
      <c r="AO24" s="64" t="s">
        <v>181</v>
      </c>
    </row>
    <row r="25" spans="18:41" ht="15.75">
      <c r="R25" s="96" t="s">
        <v>61</v>
      </c>
      <c r="S25" s="97"/>
      <c r="T25" s="6"/>
      <c r="U25" s="37" t="s">
        <v>68</v>
      </c>
      <c r="V25" s="38">
        <f>1/U15</f>
        <v>0.004094753195414615</v>
      </c>
      <c r="W25" s="6">
        <v>11.4</v>
      </c>
      <c r="X25" s="64" t="s">
        <v>225</v>
      </c>
      <c r="Z25" s="96" t="s">
        <v>61</v>
      </c>
      <c r="AA25" s="97"/>
      <c r="AB25" s="6"/>
      <c r="AC25" s="37" t="s">
        <v>109</v>
      </c>
      <c r="AD25" s="38">
        <f>1/AE15</f>
        <v>0.011076205162668525</v>
      </c>
      <c r="AE25" s="6">
        <v>12.8</v>
      </c>
      <c r="AF25" s="64" t="s">
        <v>227</v>
      </c>
      <c r="AH25" s="5" t="s">
        <v>119</v>
      </c>
      <c r="AI25" s="6"/>
      <c r="AJ25" s="6"/>
      <c r="AK25" s="6"/>
      <c r="AL25" s="37" t="s">
        <v>23</v>
      </c>
      <c r="AM25" s="6">
        <f>AK15-(AN15/AK15)</f>
        <v>187.69784751455916</v>
      </c>
      <c r="AN25" s="6">
        <v>16.6</v>
      </c>
      <c r="AO25" s="64" t="s">
        <v>181</v>
      </c>
    </row>
    <row r="26" spans="18:41" ht="15.75">
      <c r="R26" s="96" t="s">
        <v>62</v>
      </c>
      <c r="S26" s="97"/>
      <c r="T26" s="6"/>
      <c r="U26" s="37" t="s">
        <v>69</v>
      </c>
      <c r="V26" s="38">
        <f>SQRT(V25)</f>
        <v>0.06399025859781014</v>
      </c>
      <c r="W26" s="6">
        <v>11.5</v>
      </c>
      <c r="X26" s="64" t="s">
        <v>225</v>
      </c>
      <c r="Z26" s="96" t="s">
        <v>62</v>
      </c>
      <c r="AA26" s="97"/>
      <c r="AB26" s="6"/>
      <c r="AC26" s="37" t="s">
        <v>110</v>
      </c>
      <c r="AD26" s="38">
        <f>SQRT(AD25)</f>
        <v>0.10524355164411986</v>
      </c>
      <c r="AE26" s="6">
        <v>12.9</v>
      </c>
      <c r="AF26" s="64" t="s">
        <v>227</v>
      </c>
      <c r="AH26" s="5"/>
      <c r="AI26" s="6"/>
      <c r="AJ26" s="6"/>
      <c r="AK26" s="6"/>
      <c r="AL26" s="6" t="s">
        <v>26</v>
      </c>
      <c r="AM26" s="6">
        <f>(AM23+2*(AK15-AN15/AK15)*AM29+(AN15-2*(AO15/AK15)+AN15^2/AK15^2)*AM29^2)</f>
        <v>31.020159324719792</v>
      </c>
      <c r="AN26" s="61">
        <v>16.11</v>
      </c>
      <c r="AO26" s="64" t="s">
        <v>181</v>
      </c>
    </row>
    <row r="27" spans="18:41" ht="13.5">
      <c r="R27" s="5"/>
      <c r="S27" s="6"/>
      <c r="T27" s="6"/>
      <c r="U27" s="6"/>
      <c r="V27" s="6"/>
      <c r="W27" s="6"/>
      <c r="X27" s="64"/>
      <c r="Z27" s="5"/>
      <c r="AA27" s="6"/>
      <c r="AB27" s="6"/>
      <c r="AC27" s="6"/>
      <c r="AD27" s="6"/>
      <c r="AE27" s="6"/>
      <c r="AF27" s="64"/>
      <c r="AH27" s="5"/>
      <c r="AI27" s="6"/>
      <c r="AJ27" s="6"/>
      <c r="AK27" s="6"/>
      <c r="AL27" s="6"/>
      <c r="AM27" s="6"/>
      <c r="AN27" s="6"/>
      <c r="AO27" s="7"/>
    </row>
    <row r="28" spans="18:41" ht="15.75">
      <c r="R28" s="40" t="s">
        <v>76</v>
      </c>
      <c r="S28" s="6"/>
      <c r="T28" s="6"/>
      <c r="U28" s="6"/>
      <c r="V28" s="6"/>
      <c r="W28" s="6"/>
      <c r="X28" s="64"/>
      <c r="Z28" s="40" t="s">
        <v>76</v>
      </c>
      <c r="AA28" s="6"/>
      <c r="AB28" s="6"/>
      <c r="AC28" s="6"/>
      <c r="AD28" s="6"/>
      <c r="AE28" s="6"/>
      <c r="AF28" s="64"/>
      <c r="AH28" s="40" t="s">
        <v>146</v>
      </c>
      <c r="AI28" s="6"/>
      <c r="AJ28" s="6"/>
      <c r="AK28" s="6"/>
      <c r="AL28" s="6"/>
      <c r="AM28" s="6"/>
      <c r="AN28" s="6"/>
      <c r="AO28" s="7"/>
    </row>
    <row r="29" spans="18:41" ht="16.5">
      <c r="R29" s="96" t="s">
        <v>63</v>
      </c>
      <c r="S29" s="97"/>
      <c r="T29" s="6"/>
      <c r="U29" s="37" t="s">
        <v>70</v>
      </c>
      <c r="V29" s="38">
        <f>V24-1.96*V26</f>
        <v>0.28884876474575094</v>
      </c>
      <c r="W29" s="6">
        <v>11.6</v>
      </c>
      <c r="X29" s="64" t="s">
        <v>225</v>
      </c>
      <c r="Z29" s="96" t="s">
        <v>63</v>
      </c>
      <c r="AA29" s="97"/>
      <c r="AB29" s="6"/>
      <c r="AC29" s="37" t="s">
        <v>111</v>
      </c>
      <c r="AD29" s="38">
        <f>AD24-1.96*AD26</f>
        <v>0.15195205634036885</v>
      </c>
      <c r="AE29" s="47" t="s">
        <v>88</v>
      </c>
      <c r="AF29" s="64" t="s">
        <v>227</v>
      </c>
      <c r="AH29" s="5" t="s">
        <v>120</v>
      </c>
      <c r="AI29" s="6"/>
      <c r="AJ29" s="6"/>
      <c r="AK29" s="6"/>
      <c r="AL29" s="37" t="s">
        <v>129</v>
      </c>
      <c r="AM29" s="6">
        <f>MAX((AM22-AM23)/AM25,0)</f>
        <v>0.03731130634814963</v>
      </c>
      <c r="AN29" s="6">
        <v>16.5</v>
      </c>
      <c r="AO29" s="64" t="s">
        <v>181</v>
      </c>
    </row>
    <row r="30" spans="18:41" ht="16.5">
      <c r="R30" s="96" t="s">
        <v>64</v>
      </c>
      <c r="S30" s="97"/>
      <c r="T30" s="6"/>
      <c r="U30" s="37" t="s">
        <v>71</v>
      </c>
      <c r="V30" s="38">
        <f>V24+1.96*V26</f>
        <v>0.5396905784491667</v>
      </c>
      <c r="W30" s="6">
        <v>11.7</v>
      </c>
      <c r="X30" s="64" t="s">
        <v>225</v>
      </c>
      <c r="Z30" s="96" t="s">
        <v>64</v>
      </c>
      <c r="AA30" s="97"/>
      <c r="AB30" s="6"/>
      <c r="AC30" s="37" t="s">
        <v>112</v>
      </c>
      <c r="AD30" s="38">
        <f>AD24+1.96*AD26</f>
        <v>0.5645067787853186</v>
      </c>
      <c r="AE30" s="6">
        <v>12.11</v>
      </c>
      <c r="AF30" s="64" t="s">
        <v>227</v>
      </c>
      <c r="AH30" s="5" t="s">
        <v>147</v>
      </c>
      <c r="AI30" s="6"/>
      <c r="AJ30" s="6"/>
      <c r="AK30" s="6"/>
      <c r="AL30" s="37" t="s">
        <v>130</v>
      </c>
      <c r="AM30" s="6">
        <f>2*(AM26/AM25^2)</f>
        <v>0.001760984102263025</v>
      </c>
      <c r="AN30" s="61">
        <v>16.12</v>
      </c>
      <c r="AO30" s="64" t="s">
        <v>181</v>
      </c>
    </row>
    <row r="31" spans="18:41" ht="16.5">
      <c r="R31" s="5"/>
      <c r="S31" s="6"/>
      <c r="T31" s="6"/>
      <c r="U31" s="6"/>
      <c r="V31" s="6"/>
      <c r="W31" s="6"/>
      <c r="X31" s="64"/>
      <c r="Z31" s="5"/>
      <c r="AA31" s="6"/>
      <c r="AB31" s="6"/>
      <c r="AC31" s="6"/>
      <c r="AD31" s="6"/>
      <c r="AE31" s="6"/>
      <c r="AF31" s="64"/>
      <c r="AH31" s="5" t="s">
        <v>148</v>
      </c>
      <c r="AI31" s="6"/>
      <c r="AJ31" s="6"/>
      <c r="AK31" s="6"/>
      <c r="AL31" s="37" t="s">
        <v>131</v>
      </c>
      <c r="AM31" s="6">
        <f>SQRT(AM30)</f>
        <v>0.04196408109637366</v>
      </c>
      <c r="AN31" s="61">
        <v>16.13</v>
      </c>
      <c r="AO31" s="64" t="s">
        <v>181</v>
      </c>
    </row>
    <row r="32" spans="18:41" ht="13.5">
      <c r="R32" s="40" t="s">
        <v>77</v>
      </c>
      <c r="S32" s="6"/>
      <c r="T32" s="6"/>
      <c r="U32" s="6"/>
      <c r="V32" s="6"/>
      <c r="W32" s="6"/>
      <c r="X32" s="64"/>
      <c r="Z32" s="40" t="s">
        <v>77</v>
      </c>
      <c r="AA32" s="6"/>
      <c r="AB32" s="6"/>
      <c r="AC32" s="6"/>
      <c r="AD32" s="6"/>
      <c r="AE32" s="6"/>
      <c r="AF32" s="64"/>
      <c r="AH32" s="5" t="s">
        <v>149</v>
      </c>
      <c r="AI32" s="6"/>
      <c r="AJ32" s="6"/>
      <c r="AK32" s="6"/>
      <c r="AL32" s="37" t="s">
        <v>27</v>
      </c>
      <c r="AM32" s="6">
        <f>0.5*(LN(AM22)-LN(AM23))/(SQRT(2*AM22)-SQRT(2*AM23-1))</f>
        <v>0.23050109560352558</v>
      </c>
      <c r="AN32" s="62" t="s">
        <v>177</v>
      </c>
      <c r="AO32" s="64" t="s">
        <v>182</v>
      </c>
    </row>
    <row r="33" spans="18:41" ht="13.5">
      <c r="R33" s="96" t="s">
        <v>65</v>
      </c>
      <c r="S33" s="97"/>
      <c r="T33" s="6"/>
      <c r="U33" s="37" t="s">
        <v>20</v>
      </c>
      <c r="V33" s="38">
        <f>V24/V26</f>
        <v>6.473949014665114</v>
      </c>
      <c r="W33" s="39">
        <v>11.8</v>
      </c>
      <c r="X33" s="64" t="s">
        <v>226</v>
      </c>
      <c r="Z33" s="96" t="s">
        <v>65</v>
      </c>
      <c r="AA33" s="97"/>
      <c r="AB33" s="6"/>
      <c r="AC33" s="37" t="s">
        <v>113</v>
      </c>
      <c r="AD33" s="38">
        <f>AD24/AD26</f>
        <v>3.403813459034463</v>
      </c>
      <c r="AE33" s="6">
        <v>12.12</v>
      </c>
      <c r="AF33" s="64" t="s">
        <v>227</v>
      </c>
      <c r="AH33" s="5" t="s">
        <v>150</v>
      </c>
      <c r="AI33" s="6"/>
      <c r="AJ33" s="6"/>
      <c r="AK33" s="6"/>
      <c r="AL33" s="37" t="s">
        <v>28</v>
      </c>
      <c r="AM33" s="6">
        <f>EXP(0.5*LN(AM22/AM23)-1.96*AM32)</f>
        <v>0.9861840271671515</v>
      </c>
      <c r="AN33" s="61">
        <v>16.16</v>
      </c>
      <c r="AO33" s="64" t="s">
        <v>182</v>
      </c>
    </row>
    <row r="34" spans="18:41" ht="15.75">
      <c r="R34" s="5" t="s">
        <v>78</v>
      </c>
      <c r="S34" s="6"/>
      <c r="T34" s="6"/>
      <c r="U34" s="37" t="s">
        <v>82</v>
      </c>
      <c r="V34" s="38">
        <f>1-NORMSDIST(ABS(V33))</f>
        <v>4.7737036545925093E-11</v>
      </c>
      <c r="W34" s="39">
        <v>11.9</v>
      </c>
      <c r="X34" s="64" t="s">
        <v>226</v>
      </c>
      <c r="Z34" s="5" t="s">
        <v>78</v>
      </c>
      <c r="AA34" s="6"/>
      <c r="AB34" s="6"/>
      <c r="AC34" s="37" t="s">
        <v>114</v>
      </c>
      <c r="AD34" s="38">
        <f>1-NORMSDIST(ABS(AD33))</f>
        <v>0.0003322605915687671</v>
      </c>
      <c r="AE34" s="6">
        <v>12.13</v>
      </c>
      <c r="AF34" s="64" t="s">
        <v>227</v>
      </c>
      <c r="AH34" s="5" t="s">
        <v>151</v>
      </c>
      <c r="AI34" s="6"/>
      <c r="AJ34" s="6"/>
      <c r="AK34" s="6"/>
      <c r="AL34" s="37" t="s">
        <v>29</v>
      </c>
      <c r="AM34" s="6">
        <f>EXP(0.5*LN(AM22/AM23)+1.96*AM32)</f>
        <v>2.434282356809967</v>
      </c>
      <c r="AN34" s="61">
        <v>16.17</v>
      </c>
      <c r="AO34" s="64" t="s">
        <v>182</v>
      </c>
    </row>
    <row r="35" spans="18:41" ht="18" thickBot="1">
      <c r="R35" s="44" t="s">
        <v>79</v>
      </c>
      <c r="S35" s="58"/>
      <c r="T35" s="58"/>
      <c r="U35" s="59" t="s">
        <v>83</v>
      </c>
      <c r="V35" s="66">
        <f>2*(1-NORMSDIST(ABS(V33)))</f>
        <v>9.547407309185019E-11</v>
      </c>
      <c r="W35" s="67">
        <v>11.1</v>
      </c>
      <c r="X35" s="64" t="s">
        <v>226</v>
      </c>
      <c r="Z35" s="44" t="s">
        <v>79</v>
      </c>
      <c r="AA35" s="58"/>
      <c r="AB35" s="58"/>
      <c r="AC35" s="59" t="s">
        <v>115</v>
      </c>
      <c r="AD35" s="66">
        <f>2*(1-NORMSDIST(ABS(AD33)))</f>
        <v>0.0006645211831375342</v>
      </c>
      <c r="AE35" s="58">
        <v>12.14</v>
      </c>
      <c r="AF35" s="64" t="s">
        <v>227</v>
      </c>
      <c r="AH35" s="5" t="s">
        <v>152</v>
      </c>
      <c r="AI35" s="6"/>
      <c r="AJ35" s="6"/>
      <c r="AK35" s="6"/>
      <c r="AL35" s="37" t="s">
        <v>132</v>
      </c>
      <c r="AM35" s="6">
        <f>MAX(((AM23*(AM33^2-1))/AM25),0)</f>
        <v>0</v>
      </c>
      <c r="AN35" s="61">
        <v>16.18</v>
      </c>
      <c r="AO35" s="64" t="s">
        <v>182</v>
      </c>
    </row>
    <row r="36" spans="23:41" ht="16.5">
      <c r="W36" s="30"/>
      <c r="X36" s="73"/>
      <c r="AH36" s="5" t="s">
        <v>153</v>
      </c>
      <c r="AI36" s="6"/>
      <c r="AJ36" s="6"/>
      <c r="AK36" s="6"/>
      <c r="AL36" s="37" t="s">
        <v>133</v>
      </c>
      <c r="AM36" s="6">
        <f>MAX(((AM23*(AM34^2-1))/AM25),0)</f>
        <v>0.1312143601512056</v>
      </c>
      <c r="AN36" s="61">
        <v>16.19</v>
      </c>
      <c r="AO36" s="64" t="s">
        <v>182</v>
      </c>
    </row>
    <row r="37" spans="34:41" ht="13.5">
      <c r="AH37" s="5"/>
      <c r="AI37" s="6"/>
      <c r="AJ37" s="6"/>
      <c r="AK37" s="6"/>
      <c r="AL37" s="37"/>
      <c r="AM37" s="6"/>
      <c r="AN37" s="6"/>
      <c r="AO37" s="7"/>
    </row>
    <row r="38" spans="18:41" ht="13.5">
      <c r="R38" s="108" t="s">
        <v>106</v>
      </c>
      <c r="S38" s="108"/>
      <c r="T38" s="108"/>
      <c r="U38" s="108"/>
      <c r="V38" s="108"/>
      <c r="W38" s="108"/>
      <c r="X38" s="108"/>
      <c r="AH38" s="40" t="s">
        <v>122</v>
      </c>
      <c r="AI38" s="6"/>
      <c r="AJ38" s="6"/>
      <c r="AK38" s="6"/>
      <c r="AL38" s="37"/>
      <c r="AM38" s="6"/>
      <c r="AN38" s="6"/>
      <c r="AO38" s="7"/>
    </row>
    <row r="39" spans="34:41" ht="15" thickBot="1">
      <c r="AH39" s="5" t="s">
        <v>121</v>
      </c>
      <c r="AI39" s="6"/>
      <c r="AJ39" s="6"/>
      <c r="AK39" s="6"/>
      <c r="AL39" s="37" t="s">
        <v>25</v>
      </c>
      <c r="AM39" s="6">
        <f>SQRT(AM29)</f>
        <v>0.19316134796627826</v>
      </c>
      <c r="AN39" s="6">
        <v>16.8</v>
      </c>
      <c r="AO39" s="64" t="s">
        <v>181</v>
      </c>
    </row>
    <row r="40" spans="18:41" ht="15.75">
      <c r="R40" s="68" t="s">
        <v>172</v>
      </c>
      <c r="S40" s="53"/>
      <c r="T40" s="53"/>
      <c r="U40" s="53"/>
      <c r="V40" s="53"/>
      <c r="W40" s="53"/>
      <c r="X40" s="69"/>
      <c r="Z40" s="68"/>
      <c r="AA40" s="53"/>
      <c r="AB40" s="53"/>
      <c r="AC40" s="53"/>
      <c r="AD40" s="53"/>
      <c r="AE40" s="53"/>
      <c r="AF40" s="69"/>
      <c r="AH40" s="5" t="s">
        <v>154</v>
      </c>
      <c r="AI40" s="6"/>
      <c r="AJ40" s="6"/>
      <c r="AK40" s="6"/>
      <c r="AL40" s="37" t="s">
        <v>134</v>
      </c>
      <c r="AM40" s="6">
        <f>SQRT(AM35)</f>
        <v>0</v>
      </c>
      <c r="AN40" s="63" t="s">
        <v>178</v>
      </c>
      <c r="AO40" s="64" t="s">
        <v>182</v>
      </c>
    </row>
    <row r="41" spans="18:41" ht="15.75">
      <c r="R41" s="5" t="s">
        <v>171</v>
      </c>
      <c r="S41" s="6"/>
      <c r="T41" s="6"/>
      <c r="U41" s="6"/>
      <c r="V41" s="6"/>
      <c r="W41" s="6"/>
      <c r="X41" s="7"/>
      <c r="Z41" s="40" t="s">
        <v>80</v>
      </c>
      <c r="AA41" s="6"/>
      <c r="AB41" s="6"/>
      <c r="AC41" s="6"/>
      <c r="AD41" s="6"/>
      <c r="AE41" s="6"/>
      <c r="AF41" s="7"/>
      <c r="AH41" s="5" t="s">
        <v>155</v>
      </c>
      <c r="AI41" s="6"/>
      <c r="AJ41" s="6"/>
      <c r="AK41" s="6"/>
      <c r="AL41" s="37" t="s">
        <v>135</v>
      </c>
      <c r="AM41" s="6">
        <f>SQRT(AM36)</f>
        <v>0.3622352276507706</v>
      </c>
      <c r="AN41" s="63" t="s">
        <v>178</v>
      </c>
      <c r="AO41" s="64" t="s">
        <v>182</v>
      </c>
    </row>
    <row r="42" spans="18:41" ht="13.5">
      <c r="R42" s="5" t="s">
        <v>170</v>
      </c>
      <c r="S42" s="6"/>
      <c r="T42" s="6"/>
      <c r="U42" s="6"/>
      <c r="V42" s="6"/>
      <c r="W42" s="6"/>
      <c r="X42" s="7"/>
      <c r="Z42" s="94" t="s">
        <v>87</v>
      </c>
      <c r="AA42" s="95"/>
      <c r="AB42" s="95"/>
      <c r="AC42" s="95"/>
      <c r="AD42" s="95"/>
      <c r="AE42" s="95"/>
      <c r="AF42" s="7"/>
      <c r="AH42" s="5"/>
      <c r="AI42" s="6"/>
      <c r="AJ42" s="6"/>
      <c r="AK42" s="6"/>
      <c r="AL42" s="37"/>
      <c r="AM42" s="6"/>
      <c r="AN42" s="6"/>
      <c r="AO42" s="7"/>
    </row>
    <row r="43" spans="18:41" ht="15.75">
      <c r="R43" s="5"/>
      <c r="S43" s="6"/>
      <c r="T43" s="6"/>
      <c r="U43" s="6"/>
      <c r="V43" s="6"/>
      <c r="W43" s="6" t="s">
        <v>81</v>
      </c>
      <c r="X43" s="7" t="s">
        <v>176</v>
      </c>
      <c r="Z43" s="94"/>
      <c r="AA43" s="95"/>
      <c r="AB43" s="95"/>
      <c r="AC43" s="95"/>
      <c r="AD43" s="95"/>
      <c r="AE43" s="95"/>
      <c r="AF43" s="7"/>
      <c r="AH43" s="40" t="s">
        <v>156</v>
      </c>
      <c r="AI43" s="6"/>
      <c r="AJ43" s="6"/>
      <c r="AK43" s="6"/>
      <c r="AL43" s="37"/>
      <c r="AM43" s="6"/>
      <c r="AN43" s="6"/>
      <c r="AO43" s="7"/>
    </row>
    <row r="44" spans="18:41" ht="15.75">
      <c r="R44" s="40" t="s">
        <v>80</v>
      </c>
      <c r="S44" s="6"/>
      <c r="T44" s="6"/>
      <c r="U44" s="6"/>
      <c r="V44" s="6"/>
      <c r="W44" s="41"/>
      <c r="X44" s="42"/>
      <c r="Z44" s="5"/>
      <c r="AA44" s="6"/>
      <c r="AB44" s="6"/>
      <c r="AC44" s="6"/>
      <c r="AD44" s="6"/>
      <c r="AE44" s="6"/>
      <c r="AF44" s="7"/>
      <c r="AH44" s="56" t="s">
        <v>157</v>
      </c>
      <c r="AI44" s="6"/>
      <c r="AJ44" s="6"/>
      <c r="AK44" s="6"/>
      <c r="AL44" s="37" t="s">
        <v>136</v>
      </c>
      <c r="AM44" s="57">
        <f>((AM22-AM23)/AM22)</f>
        <v>0.5834462155732855</v>
      </c>
      <c r="AN44" s="6">
        <v>16.9</v>
      </c>
      <c r="AO44" s="64" t="s">
        <v>181</v>
      </c>
    </row>
    <row r="45" spans="18:41" ht="16.5">
      <c r="R45" s="96" t="s">
        <v>66</v>
      </c>
      <c r="S45" s="97"/>
      <c r="T45" s="6"/>
      <c r="U45" s="37" t="s">
        <v>21</v>
      </c>
      <c r="V45" s="38">
        <f>W15-(V15^2/U15)</f>
        <v>12.003251889503993</v>
      </c>
      <c r="W45" s="41">
        <v>12.3</v>
      </c>
      <c r="X45" s="64" t="s">
        <v>226</v>
      </c>
      <c r="Z45" s="5"/>
      <c r="AA45" s="6"/>
      <c r="AB45" s="6"/>
      <c r="AC45" s="6"/>
      <c r="AD45" s="6"/>
      <c r="AE45" s="6"/>
      <c r="AF45" s="7"/>
      <c r="AH45" s="5" t="s">
        <v>158</v>
      </c>
      <c r="AI45" s="6"/>
      <c r="AJ45" s="6"/>
      <c r="AK45" s="6"/>
      <c r="AL45" s="37" t="s">
        <v>137</v>
      </c>
      <c r="AM45" s="57">
        <f>MAX(((AM33^2-1)/AM33^2),0)</f>
        <v>0</v>
      </c>
      <c r="AN45" s="6">
        <v>16.24</v>
      </c>
      <c r="AO45" s="64" t="s">
        <v>183</v>
      </c>
    </row>
    <row r="46" spans="18:41" ht="16.5">
      <c r="R46" s="96" t="s">
        <v>67</v>
      </c>
      <c r="S46" s="97"/>
      <c r="T46" s="6"/>
      <c r="U46" s="37" t="s">
        <v>22</v>
      </c>
      <c r="V46" s="38">
        <f>COUNT(S8:S13)-1</f>
        <v>5</v>
      </c>
      <c r="W46" s="41">
        <v>12.4</v>
      </c>
      <c r="X46" s="64" t="s">
        <v>226</v>
      </c>
      <c r="Y46" s="30"/>
      <c r="Z46" s="5"/>
      <c r="AA46" s="6"/>
      <c r="AB46" s="6"/>
      <c r="AC46" s="6"/>
      <c r="AD46" s="6"/>
      <c r="AE46" s="6"/>
      <c r="AF46" s="7"/>
      <c r="AH46" s="5" t="s">
        <v>159</v>
      </c>
      <c r="AI46" s="6"/>
      <c r="AJ46" s="6"/>
      <c r="AK46" s="6"/>
      <c r="AL46" s="37" t="s">
        <v>138</v>
      </c>
      <c r="AM46" s="57">
        <f>MAX(((AM34^2-1)/AM34^2),0)</f>
        <v>0.8312444373971511</v>
      </c>
      <c r="AN46" s="6">
        <v>16.25</v>
      </c>
      <c r="AO46" s="64" t="s">
        <v>183</v>
      </c>
    </row>
    <row r="47" spans="18:41" ht="13.5">
      <c r="R47" s="96" t="s">
        <v>23</v>
      </c>
      <c r="S47" s="97"/>
      <c r="T47" s="6"/>
      <c r="U47" s="37" t="s">
        <v>23</v>
      </c>
      <c r="V47" s="38">
        <f>U15-(X15/U15)</f>
        <v>187.69784751455916</v>
      </c>
      <c r="W47" s="41">
        <v>12.5</v>
      </c>
      <c r="X47" s="64" t="s">
        <v>226</v>
      </c>
      <c r="Z47" s="5"/>
      <c r="AA47" s="6"/>
      <c r="AB47" s="6"/>
      <c r="AC47" s="6"/>
      <c r="AD47" s="6"/>
      <c r="AE47" s="6"/>
      <c r="AF47" s="7"/>
      <c r="AH47" s="5"/>
      <c r="AI47" s="6"/>
      <c r="AJ47" s="6"/>
      <c r="AK47" s="6"/>
      <c r="AL47" s="37"/>
      <c r="AM47" s="6"/>
      <c r="AN47" s="6"/>
      <c r="AO47" s="7"/>
    </row>
    <row r="48" spans="18:41" ht="16.5" thickBot="1">
      <c r="R48" s="104" t="s">
        <v>125</v>
      </c>
      <c r="S48" s="105"/>
      <c r="T48" s="58"/>
      <c r="U48" s="59" t="s">
        <v>72</v>
      </c>
      <c r="V48" s="66">
        <f>MAX(((V45-V46)/V47),0)</f>
        <v>0.03731130634814963</v>
      </c>
      <c r="W48" s="70">
        <v>12.2</v>
      </c>
      <c r="X48" s="64" t="s">
        <v>226</v>
      </c>
      <c r="Z48" s="44"/>
      <c r="AA48" s="58"/>
      <c r="AB48" s="58"/>
      <c r="AC48" s="58"/>
      <c r="AD48" s="58"/>
      <c r="AE48" s="58"/>
      <c r="AF48" s="60"/>
      <c r="AH48" s="40" t="s">
        <v>123</v>
      </c>
      <c r="AI48" s="6"/>
      <c r="AJ48" s="6"/>
      <c r="AK48" s="6"/>
      <c r="AL48" s="37"/>
      <c r="AM48" s="6"/>
      <c r="AN48" s="6"/>
      <c r="AO48" s="7"/>
    </row>
    <row r="49" spans="34:41" ht="15.75">
      <c r="AH49" s="5" t="s">
        <v>118</v>
      </c>
      <c r="AI49" s="6"/>
      <c r="AJ49" s="6"/>
      <c r="AK49" s="6"/>
      <c r="AL49" s="37" t="s">
        <v>162</v>
      </c>
      <c r="AM49" s="6">
        <f>COUNT(AR8:AR13)-2</f>
        <v>4</v>
      </c>
      <c r="AN49" s="63" t="s">
        <v>180</v>
      </c>
      <c r="AO49" s="64" t="s">
        <v>184</v>
      </c>
    </row>
    <row r="50" spans="34:41" ht="15.75">
      <c r="AH50" s="5" t="s">
        <v>160</v>
      </c>
      <c r="AI50" s="6"/>
      <c r="AJ50" s="6"/>
      <c r="AK50" s="6"/>
      <c r="AL50" s="37" t="s">
        <v>139</v>
      </c>
      <c r="AM50" s="6">
        <f>TINV(0.05,AM49)</f>
        <v>2.7764451051977934</v>
      </c>
      <c r="AN50" s="63" t="s">
        <v>179</v>
      </c>
      <c r="AO50" s="64" t="s">
        <v>184</v>
      </c>
    </row>
    <row r="51" spans="34:41" ht="13.5">
      <c r="AH51" s="5" t="s">
        <v>124</v>
      </c>
      <c r="AI51" s="6"/>
      <c r="AJ51" s="6"/>
      <c r="AK51" s="6"/>
      <c r="AL51" s="37" t="s">
        <v>30</v>
      </c>
      <c r="AM51" s="6">
        <f>AD24</f>
        <v>0.35822941756284377</v>
      </c>
      <c r="AN51" s="6">
        <v>12.7</v>
      </c>
      <c r="AO51" s="64" t="s">
        <v>185</v>
      </c>
    </row>
    <row r="52" spans="34:41" ht="15.75">
      <c r="AH52" s="5" t="s">
        <v>125</v>
      </c>
      <c r="AI52" s="6"/>
      <c r="AJ52" s="6"/>
      <c r="AK52" s="6"/>
      <c r="AL52" s="37" t="s">
        <v>129</v>
      </c>
      <c r="AM52" s="6">
        <f>AM29</f>
        <v>0.03731130634814963</v>
      </c>
      <c r="AN52" s="6">
        <v>16.5</v>
      </c>
      <c r="AO52" s="64" t="s">
        <v>181</v>
      </c>
    </row>
    <row r="53" spans="34:41" ht="15.75">
      <c r="AH53" s="5" t="s">
        <v>161</v>
      </c>
      <c r="AI53" s="6"/>
      <c r="AJ53" s="6"/>
      <c r="AK53" s="6"/>
      <c r="AL53" s="37" t="s">
        <v>140</v>
      </c>
      <c r="AM53" s="6">
        <f>AD25</f>
        <v>0.011076205162668525</v>
      </c>
      <c r="AN53" s="6">
        <v>12.8</v>
      </c>
      <c r="AO53" s="64" t="s">
        <v>186</v>
      </c>
    </row>
    <row r="54" spans="34:41" ht="15.75">
      <c r="AH54" s="5" t="s">
        <v>126</v>
      </c>
      <c r="AI54" s="6"/>
      <c r="AJ54" s="6"/>
      <c r="AK54" s="6"/>
      <c r="AL54" s="37" t="s">
        <v>141</v>
      </c>
      <c r="AM54" s="6">
        <f>AM51-AM50*SQRT(AM52+AM53)</f>
        <v>-0.2525096968496998</v>
      </c>
      <c r="AN54" s="6">
        <v>17.7</v>
      </c>
      <c r="AO54" s="64" t="s">
        <v>184</v>
      </c>
    </row>
    <row r="55" spans="34:41" ht="16.5" thickBot="1">
      <c r="AH55" s="44" t="s">
        <v>127</v>
      </c>
      <c r="AI55" s="58"/>
      <c r="AJ55" s="58"/>
      <c r="AK55" s="58"/>
      <c r="AL55" s="59" t="s">
        <v>142</v>
      </c>
      <c r="AM55" s="58">
        <f>AM51+AM50*SQRT(AM52+AM53)</f>
        <v>0.9689685319753873</v>
      </c>
      <c r="AN55" s="58">
        <v>17.8</v>
      </c>
      <c r="AO55" s="72" t="s">
        <v>184</v>
      </c>
    </row>
    <row r="60" ht="13.5">
      <c r="Y60" s="30"/>
    </row>
  </sheetData>
  <sheetProtection/>
  <mergeCells count="40">
    <mergeCell ref="Z30:AA30"/>
    <mergeCell ref="R24:S24"/>
    <mergeCell ref="R25:S25"/>
    <mergeCell ref="R26:S26"/>
    <mergeCell ref="AQ3:AW3"/>
    <mergeCell ref="Z3:AF3"/>
    <mergeCell ref="Z24:AA24"/>
    <mergeCell ref="Z25:AA25"/>
    <mergeCell ref="Z26:AA26"/>
    <mergeCell ref="Z29:AA29"/>
    <mergeCell ref="R47:S47"/>
    <mergeCell ref="R48:S48"/>
    <mergeCell ref="R19:X19"/>
    <mergeCell ref="F5:H5"/>
    <mergeCell ref="B3:H3"/>
    <mergeCell ref="J3:P3"/>
    <mergeCell ref="R29:S29"/>
    <mergeCell ref="R17:X17"/>
    <mergeCell ref="R18:X18"/>
    <mergeCell ref="R38:X38"/>
    <mergeCell ref="Z42:AE43"/>
    <mergeCell ref="R33:S33"/>
    <mergeCell ref="R45:S45"/>
    <mergeCell ref="R46:S46"/>
    <mergeCell ref="R3:X3"/>
    <mergeCell ref="V5:X5"/>
    <mergeCell ref="Z19:AF19"/>
    <mergeCell ref="Z18:AF18"/>
    <mergeCell ref="Z33:AA33"/>
    <mergeCell ref="R30:S30"/>
    <mergeCell ref="AQ1:AW1"/>
    <mergeCell ref="Z17:AF17"/>
    <mergeCell ref="B1:H1"/>
    <mergeCell ref="J1:P1"/>
    <mergeCell ref="R1:X1"/>
    <mergeCell ref="C5:E5"/>
    <mergeCell ref="AH17:AO17"/>
    <mergeCell ref="Z1:AF1"/>
    <mergeCell ref="AH1:AO1"/>
    <mergeCell ref="AH3:AO3"/>
  </mergeCells>
  <printOptions/>
  <pageMargins left="0.7" right="0.7" top="0.75" bottom="0.75" header="0.3" footer="0.3"/>
  <pageSetup horizontalDpi="1200" verticalDpi="12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1:AW66"/>
  <sheetViews>
    <sheetView workbookViewId="0" topLeftCell="A1">
      <selection activeCell="A1" sqref="A1"/>
    </sheetView>
  </sheetViews>
  <sheetFormatPr defaultColWidth="8.8515625" defaultRowHeight="15"/>
  <cols>
    <col min="1" max="3" width="8.8515625" style="0" customWidth="1"/>
    <col min="4" max="4" width="10.8515625" style="0" customWidth="1"/>
    <col min="5" max="6" width="8.8515625" style="0" customWidth="1"/>
    <col min="7" max="7" width="10.8515625" style="0" customWidth="1"/>
    <col min="8" max="19" width="8.8515625" style="0" customWidth="1"/>
    <col min="20" max="20" width="12.421875" style="0" bestFit="1" customWidth="1"/>
    <col min="21" max="27" width="8.8515625" style="0" customWidth="1"/>
    <col min="28" max="28" width="8.7109375" style="0" customWidth="1"/>
    <col min="29" max="29" width="11.421875" style="0" customWidth="1"/>
    <col min="30" max="30" width="9.28125" style="0" customWidth="1"/>
    <col min="31" max="31" width="11.421875" style="0" customWidth="1"/>
    <col min="32" max="32" width="11.28125" style="0" customWidth="1"/>
    <col min="33" max="33" width="9.140625" style="0" customWidth="1"/>
    <col min="34" max="34" width="8.8515625" style="0" customWidth="1"/>
    <col min="35" max="35" width="9.421875" style="0" bestFit="1" customWidth="1"/>
    <col min="36" max="36" width="13.00390625" style="0" customWidth="1"/>
    <col min="37" max="40" width="9.421875" style="0" bestFit="1" customWidth="1"/>
    <col min="41" max="41" width="10.421875" style="0" bestFit="1" customWidth="1"/>
    <col min="42" max="44" width="8.8515625" style="0" customWidth="1"/>
    <col min="45" max="45" width="14.421875" style="0" customWidth="1"/>
  </cols>
  <sheetData>
    <row r="1" spans="2:49" ht="13.5">
      <c r="B1" s="91" t="s">
        <v>102</v>
      </c>
      <c r="C1" s="91"/>
      <c r="D1" s="91"/>
      <c r="E1" s="91"/>
      <c r="F1" s="91"/>
      <c r="G1" s="91"/>
      <c r="H1" s="91"/>
      <c r="I1" s="48"/>
      <c r="J1" s="93" t="s">
        <v>103</v>
      </c>
      <c r="K1" s="93"/>
      <c r="L1" s="93"/>
      <c r="R1" s="91" t="s">
        <v>104</v>
      </c>
      <c r="S1" s="91"/>
      <c r="T1" s="91"/>
      <c r="U1" s="91"/>
      <c r="V1" s="91"/>
      <c r="W1" s="91"/>
      <c r="X1" s="91"/>
      <c r="Z1" s="91" t="s">
        <v>143</v>
      </c>
      <c r="AA1" s="91"/>
      <c r="AB1" s="91"/>
      <c r="AC1" s="91"/>
      <c r="AD1" s="91"/>
      <c r="AE1" s="91"/>
      <c r="AF1" s="91"/>
      <c r="AH1" s="91" t="s">
        <v>144</v>
      </c>
      <c r="AI1" s="91"/>
      <c r="AJ1" s="91"/>
      <c r="AK1" s="91"/>
      <c r="AL1" s="91"/>
      <c r="AM1" s="91"/>
      <c r="AN1" s="91"/>
      <c r="AO1" s="91"/>
      <c r="AQ1" s="89" t="s">
        <v>164</v>
      </c>
      <c r="AR1" s="89"/>
      <c r="AS1" s="89"/>
      <c r="AT1" s="89"/>
      <c r="AU1" s="89"/>
      <c r="AV1" s="89"/>
      <c r="AW1" s="89"/>
    </row>
    <row r="3" spans="2:49" ht="15" thickBot="1">
      <c r="B3" s="93" t="s">
        <v>230</v>
      </c>
      <c r="C3" s="93"/>
      <c r="D3" s="93"/>
      <c r="E3" s="93"/>
      <c r="F3" s="93"/>
      <c r="G3" s="93"/>
      <c r="H3" s="93"/>
      <c r="I3" s="51"/>
      <c r="J3" s="107" t="s">
        <v>188</v>
      </c>
      <c r="K3" s="107"/>
      <c r="L3" s="107"/>
      <c r="R3" s="92" t="s">
        <v>231</v>
      </c>
      <c r="S3" s="92"/>
      <c r="T3" s="92"/>
      <c r="U3" s="92"/>
      <c r="V3" s="92"/>
      <c r="W3" s="92"/>
      <c r="X3" s="92"/>
      <c r="Z3" s="93" t="s">
        <v>232</v>
      </c>
      <c r="AA3" s="93"/>
      <c r="AB3" s="93"/>
      <c r="AC3" s="93"/>
      <c r="AD3" s="93"/>
      <c r="AE3" s="93"/>
      <c r="AF3" s="93"/>
      <c r="AH3" s="93" t="s">
        <v>165</v>
      </c>
      <c r="AI3" s="93"/>
      <c r="AJ3" s="93"/>
      <c r="AK3" s="93"/>
      <c r="AL3" s="93"/>
      <c r="AM3" s="93"/>
      <c r="AN3" s="93"/>
      <c r="AO3" s="93"/>
      <c r="AQ3" s="93" t="s">
        <v>175</v>
      </c>
      <c r="AR3" s="93"/>
      <c r="AS3" s="93"/>
      <c r="AT3" s="93"/>
      <c r="AU3" s="93"/>
      <c r="AV3" s="93"/>
      <c r="AW3" s="93"/>
    </row>
    <row r="4" spans="2:49" ht="13.5" customHeight="1">
      <c r="B4" s="68"/>
      <c r="C4" s="53"/>
      <c r="D4" s="53"/>
      <c r="E4" s="53"/>
      <c r="F4" s="53"/>
      <c r="G4" s="53"/>
      <c r="H4" s="69"/>
      <c r="J4" s="68"/>
      <c r="K4" s="53"/>
      <c r="L4" s="69"/>
      <c r="R4" s="68"/>
      <c r="S4" s="53"/>
      <c r="T4" s="53"/>
      <c r="U4" s="53"/>
      <c r="V4" s="53"/>
      <c r="W4" s="53"/>
      <c r="X4" s="69"/>
      <c r="Z4" s="68"/>
      <c r="AA4" s="53"/>
      <c r="AB4" s="53"/>
      <c r="AC4" s="53"/>
      <c r="AD4" s="53"/>
      <c r="AE4" s="53"/>
      <c r="AF4" s="69"/>
      <c r="AH4" s="68"/>
      <c r="AI4" s="53"/>
      <c r="AJ4" s="53"/>
      <c r="AK4" s="53"/>
      <c r="AL4" s="53"/>
      <c r="AM4" s="53"/>
      <c r="AN4" s="53"/>
      <c r="AO4" s="69"/>
      <c r="AQ4" s="68"/>
      <c r="AR4" s="53"/>
      <c r="AS4" s="53"/>
      <c r="AT4" s="53"/>
      <c r="AU4" s="53"/>
      <c r="AV4" s="53"/>
      <c r="AW4" s="69"/>
    </row>
    <row r="5" spans="2:49" ht="27.75">
      <c r="B5" s="5" t="s">
        <v>0</v>
      </c>
      <c r="C5" s="92" t="s">
        <v>1</v>
      </c>
      <c r="D5" s="92"/>
      <c r="E5" s="92"/>
      <c r="F5" s="92" t="s">
        <v>5</v>
      </c>
      <c r="G5" s="92"/>
      <c r="H5" s="106"/>
      <c r="I5" s="51"/>
      <c r="J5" s="5" t="s">
        <v>33</v>
      </c>
      <c r="K5" s="6" t="s">
        <v>34</v>
      </c>
      <c r="L5" s="7" t="s">
        <v>35</v>
      </c>
      <c r="R5" s="34"/>
      <c r="S5" s="35" t="s">
        <v>56</v>
      </c>
      <c r="T5" s="35" t="s">
        <v>57</v>
      </c>
      <c r="U5" s="35" t="s">
        <v>58</v>
      </c>
      <c r="V5" s="98" t="s">
        <v>59</v>
      </c>
      <c r="W5" s="98"/>
      <c r="X5" s="99"/>
      <c r="Z5" s="5"/>
      <c r="AA5" s="32" t="s">
        <v>56</v>
      </c>
      <c r="AB5" s="32" t="s">
        <v>85</v>
      </c>
      <c r="AC5" s="32" t="s">
        <v>84</v>
      </c>
      <c r="AD5" s="32" t="s">
        <v>86</v>
      </c>
      <c r="AE5" s="32" t="s">
        <v>58</v>
      </c>
      <c r="AF5" s="33" t="s">
        <v>59</v>
      </c>
      <c r="AH5" s="5"/>
      <c r="AI5" s="6"/>
      <c r="AJ5" s="6"/>
      <c r="AK5" s="6"/>
      <c r="AL5" s="6"/>
      <c r="AM5" s="6"/>
      <c r="AN5" s="6"/>
      <c r="AO5" s="7"/>
      <c r="AQ5" s="5"/>
      <c r="AR5" s="6"/>
      <c r="AS5" s="6"/>
      <c r="AT5" s="6"/>
      <c r="AU5" s="6"/>
      <c r="AV5" s="6"/>
      <c r="AW5" s="7"/>
    </row>
    <row r="6" spans="2:49" ht="16.5">
      <c r="B6" s="5"/>
      <c r="C6" s="49" t="s">
        <v>31</v>
      </c>
      <c r="D6" s="49" t="s">
        <v>32</v>
      </c>
      <c r="E6" s="49" t="s">
        <v>187</v>
      </c>
      <c r="F6" s="49" t="s">
        <v>31</v>
      </c>
      <c r="G6" s="49" t="s">
        <v>32</v>
      </c>
      <c r="H6" s="50" t="s">
        <v>187</v>
      </c>
      <c r="J6" s="5"/>
      <c r="K6" s="6"/>
      <c r="L6" s="7"/>
      <c r="R6" s="5" t="str">
        <f>B5</f>
        <v>Study</v>
      </c>
      <c r="S6" s="28" t="s">
        <v>16</v>
      </c>
      <c r="T6" s="28" t="s">
        <v>73</v>
      </c>
      <c r="U6" s="28" t="s">
        <v>17</v>
      </c>
      <c r="V6" s="28" t="s">
        <v>18</v>
      </c>
      <c r="W6" s="28" t="s">
        <v>54</v>
      </c>
      <c r="X6" s="29" t="s">
        <v>55</v>
      </c>
      <c r="Z6" s="5" t="str">
        <f>R6</f>
        <v>Study</v>
      </c>
      <c r="AA6" s="28" t="s">
        <v>16</v>
      </c>
      <c r="AB6" s="28" t="s">
        <v>73</v>
      </c>
      <c r="AC6" s="28" t="s">
        <v>72</v>
      </c>
      <c r="AD6" s="28" t="s">
        <v>74</v>
      </c>
      <c r="AE6" s="28" t="s">
        <v>107</v>
      </c>
      <c r="AF6" s="29" t="s">
        <v>108</v>
      </c>
      <c r="AH6" s="5" t="s">
        <v>0</v>
      </c>
      <c r="AI6" s="28" t="s">
        <v>16</v>
      </c>
      <c r="AJ6" s="28" t="s">
        <v>96</v>
      </c>
      <c r="AK6" s="28" t="s">
        <v>17</v>
      </c>
      <c r="AL6" s="28" t="s">
        <v>18</v>
      </c>
      <c r="AM6" s="28" t="s">
        <v>97</v>
      </c>
      <c r="AN6" s="28" t="s">
        <v>98</v>
      </c>
      <c r="AO6" s="29" t="s">
        <v>99</v>
      </c>
      <c r="AQ6" s="5" t="s">
        <v>0</v>
      </c>
      <c r="AR6" s="28" t="s">
        <v>16</v>
      </c>
      <c r="AS6" s="28" t="s">
        <v>96</v>
      </c>
      <c r="AT6" s="28" t="s">
        <v>17</v>
      </c>
      <c r="AU6" s="28" t="s">
        <v>19</v>
      </c>
      <c r="AV6" s="28" t="s">
        <v>100</v>
      </c>
      <c r="AW6" s="29" t="s">
        <v>101</v>
      </c>
    </row>
    <row r="7" spans="2:49" ht="13.5">
      <c r="B7" s="5"/>
      <c r="C7" s="6"/>
      <c r="D7" s="6"/>
      <c r="E7" s="6"/>
      <c r="F7" s="6"/>
      <c r="G7" s="6"/>
      <c r="H7" s="7"/>
      <c r="J7" s="5"/>
      <c r="K7" s="6"/>
      <c r="L7" s="7"/>
      <c r="R7" s="5"/>
      <c r="S7" s="6"/>
      <c r="T7" s="20"/>
      <c r="U7" s="20"/>
      <c r="V7" s="6"/>
      <c r="W7" s="6"/>
      <c r="X7" s="7"/>
      <c r="Z7" s="5"/>
      <c r="AA7" s="6"/>
      <c r="AB7" s="6"/>
      <c r="AC7" s="6"/>
      <c r="AD7" s="6"/>
      <c r="AE7" s="6"/>
      <c r="AF7" s="7"/>
      <c r="AH7" s="5"/>
      <c r="AI7" s="6"/>
      <c r="AJ7" s="6"/>
      <c r="AK7" s="6"/>
      <c r="AL7" s="6"/>
      <c r="AM7" s="6"/>
      <c r="AN7" s="6"/>
      <c r="AO7" s="7"/>
      <c r="AQ7" s="5"/>
      <c r="AR7" s="6"/>
      <c r="AS7" s="6"/>
      <c r="AT7" s="6"/>
      <c r="AU7" s="6"/>
      <c r="AV7" s="6"/>
      <c r="AW7" s="7"/>
    </row>
    <row r="8" spans="2:49" ht="13.5">
      <c r="B8" s="5" t="s">
        <v>36</v>
      </c>
      <c r="C8" s="6">
        <v>12</v>
      </c>
      <c r="D8" s="6">
        <v>53</v>
      </c>
      <c r="E8" s="6">
        <f aca="true" t="shared" si="0" ref="E8:E13">C8+D8</f>
        <v>65</v>
      </c>
      <c r="F8" s="6">
        <v>16</v>
      </c>
      <c r="G8" s="6">
        <v>49</v>
      </c>
      <c r="H8" s="7">
        <f aca="true" t="shared" si="1" ref="H8:H13">F8+G8</f>
        <v>65</v>
      </c>
      <c r="J8" s="75">
        <f aca="true" t="shared" si="2" ref="J8:J13">(C8*G8)/(D8*F8)</f>
        <v>0.6933962264150944</v>
      </c>
      <c r="K8" s="38">
        <f aca="true" t="shared" si="3" ref="K8:K13">LN(J8)</f>
        <v>-0.3661536878932761</v>
      </c>
      <c r="L8" s="76">
        <f aca="true" t="shared" si="4" ref="L8:L13">1/C8+1/D8+1/F8+1/G8</f>
        <v>0.18510942112694131</v>
      </c>
      <c r="R8" s="5" t="str">
        <f aca="true" t="shared" si="5" ref="R8:R13">B8</f>
        <v>Saint</v>
      </c>
      <c r="S8" s="21">
        <f aca="true" t="shared" si="6" ref="S8:T13">K8</f>
        <v>-0.3661536878932761</v>
      </c>
      <c r="T8" s="21">
        <f t="shared" si="6"/>
        <v>0.18510942112694131</v>
      </c>
      <c r="U8" s="21">
        <f aca="true" t="shared" si="7" ref="U8:U13">1/T8</f>
        <v>5.402210184182016</v>
      </c>
      <c r="V8" s="21">
        <f aca="true" t="shared" si="8" ref="V8:V13">U8*S8</f>
        <v>-1.9780391817128595</v>
      </c>
      <c r="W8" s="21">
        <f aca="true" t="shared" si="9" ref="W8:W13">U8*S8^2</f>
        <v>0.7242663411815617</v>
      </c>
      <c r="X8" s="22">
        <f aca="true" t="shared" si="10" ref="X8:X13">U8^2</f>
        <v>29.183874874079887</v>
      </c>
      <c r="Z8" s="5" t="str">
        <f aca="true" t="shared" si="11" ref="Z8:AB13">R8</f>
        <v>Saint</v>
      </c>
      <c r="AA8" s="21">
        <f>S8</f>
        <v>-0.3661536878932761</v>
      </c>
      <c r="AB8" s="21">
        <f>T8</f>
        <v>0.18510942112694131</v>
      </c>
      <c r="AC8" s="21">
        <f aca="true" t="shared" si="12" ref="AC8:AC13">$V$48</f>
        <v>0.17290480744241968</v>
      </c>
      <c r="AD8" s="21">
        <f aca="true" t="shared" si="13" ref="AD8:AD13">AB8+AC8</f>
        <v>0.358014228569361</v>
      </c>
      <c r="AE8" s="21">
        <f aca="true" t="shared" si="14" ref="AE8:AE13">1/AD8</f>
        <v>2.793185075341948</v>
      </c>
      <c r="AF8" s="22">
        <f aca="true" t="shared" si="15" ref="AF8:AF13">AE8*AA8</f>
        <v>-1.0227350163049127</v>
      </c>
      <c r="AH8" s="5" t="str">
        <f aca="true" t="shared" si="16" ref="AH8:AJ13">Z8</f>
        <v>Saint</v>
      </c>
      <c r="AI8" s="21">
        <f>AA8</f>
        <v>-0.3661536878932761</v>
      </c>
      <c r="AJ8" s="21">
        <f>AB8</f>
        <v>0.18510942112694131</v>
      </c>
      <c r="AK8" s="21">
        <f aca="true" t="shared" si="17" ref="AK8:AK13">1/AJ8</f>
        <v>5.402210184182016</v>
      </c>
      <c r="AL8" s="21">
        <f aca="true" t="shared" si="18" ref="AL8:AL13">AK8*AI8</f>
        <v>-1.9780391817128595</v>
      </c>
      <c r="AM8" s="21">
        <f aca="true" t="shared" si="19" ref="AM8:AM13">AK8*AI8^2</f>
        <v>0.7242663411815617</v>
      </c>
      <c r="AN8" s="21">
        <f aca="true" t="shared" si="20" ref="AN8:AN13">AK8^2</f>
        <v>29.183874874079887</v>
      </c>
      <c r="AO8" s="22">
        <f aca="true" t="shared" si="21" ref="AO8:AO13">AK8^3</f>
        <v>157.657426058648</v>
      </c>
      <c r="AQ8" s="5" t="str">
        <f aca="true" t="shared" si="22" ref="AQ8:AS13">AH8</f>
        <v>Saint</v>
      </c>
      <c r="AR8" s="21">
        <f>AI8</f>
        <v>-0.3661536878932761</v>
      </c>
      <c r="AS8" s="21">
        <f>AJ8</f>
        <v>0.18510942112694131</v>
      </c>
      <c r="AT8" s="21">
        <f aca="true" t="shared" si="23" ref="AT8:AT13">1/AS8</f>
        <v>5.402210184182016</v>
      </c>
      <c r="AU8" s="21">
        <f aca="true" t="shared" si="24" ref="AU8:AU13">$V$24</f>
        <v>-0.7241460877486139</v>
      </c>
      <c r="AV8" s="21">
        <f aca="true" t="shared" si="25" ref="AV8:AV13">(AR8-AU8)^2</f>
        <v>0.12815855835418405</v>
      </c>
      <c r="AW8" s="22">
        <f aca="true" t="shared" si="26" ref="AW8:AW13">AT8*AV8</f>
        <v>0.6923394691310581</v>
      </c>
    </row>
    <row r="9" spans="2:49" ht="13.5">
      <c r="B9" s="5" t="s">
        <v>37</v>
      </c>
      <c r="C9" s="6">
        <v>8</v>
      </c>
      <c r="D9" s="6">
        <v>32</v>
      </c>
      <c r="E9" s="6">
        <f t="shared" si="0"/>
        <v>40</v>
      </c>
      <c r="F9" s="6">
        <v>10</v>
      </c>
      <c r="G9" s="6">
        <v>30</v>
      </c>
      <c r="H9" s="7">
        <f t="shared" si="1"/>
        <v>40</v>
      </c>
      <c r="J9" s="75">
        <f t="shared" si="2"/>
        <v>0.75</v>
      </c>
      <c r="K9" s="38">
        <f t="shared" si="3"/>
        <v>-0.2876820724517809</v>
      </c>
      <c r="L9" s="76">
        <f t="shared" si="4"/>
        <v>0.2895833333333333</v>
      </c>
      <c r="R9" s="5" t="str">
        <f t="shared" si="5"/>
        <v>Kelly</v>
      </c>
      <c r="S9" s="21">
        <f t="shared" si="6"/>
        <v>-0.2876820724517809</v>
      </c>
      <c r="T9" s="21">
        <f t="shared" si="6"/>
        <v>0.2895833333333333</v>
      </c>
      <c r="U9" s="21">
        <f t="shared" si="7"/>
        <v>3.4532374100719427</v>
      </c>
      <c r="V9" s="21">
        <f t="shared" si="8"/>
        <v>-0.9934344947975169</v>
      </c>
      <c r="W9" s="21">
        <f t="shared" si="9"/>
        <v>0.2857932943084376</v>
      </c>
      <c r="X9" s="22">
        <f t="shared" si="10"/>
        <v>11.924848610320378</v>
      </c>
      <c r="Z9" s="5" t="str">
        <f t="shared" si="11"/>
        <v>Kelly</v>
      </c>
      <c r="AA9" s="21">
        <f t="shared" si="11"/>
        <v>-0.2876820724517809</v>
      </c>
      <c r="AB9" s="21">
        <f t="shared" si="11"/>
        <v>0.2895833333333333</v>
      </c>
      <c r="AC9" s="21">
        <f t="shared" si="12"/>
        <v>0.17290480744241968</v>
      </c>
      <c r="AD9" s="21">
        <f t="shared" si="13"/>
        <v>0.46248814077575295</v>
      </c>
      <c r="AE9" s="21">
        <f t="shared" si="14"/>
        <v>2.1622176048074513</v>
      </c>
      <c r="AF9" s="22">
        <f t="shared" si="15"/>
        <v>-0.6220312416427334</v>
      </c>
      <c r="AH9" s="5" t="str">
        <f t="shared" si="16"/>
        <v>Kelly</v>
      </c>
      <c r="AI9" s="21">
        <f t="shared" si="16"/>
        <v>-0.2876820724517809</v>
      </c>
      <c r="AJ9" s="21">
        <f t="shared" si="16"/>
        <v>0.2895833333333333</v>
      </c>
      <c r="AK9" s="21">
        <f t="shared" si="17"/>
        <v>3.4532374100719427</v>
      </c>
      <c r="AL9" s="21">
        <f t="shared" si="18"/>
        <v>-0.9934344947975169</v>
      </c>
      <c r="AM9" s="21">
        <f t="shared" si="19"/>
        <v>0.2857932943084376</v>
      </c>
      <c r="AN9" s="21">
        <f t="shared" si="20"/>
        <v>11.924848610320378</v>
      </c>
      <c r="AO9" s="22">
        <f t="shared" si="21"/>
        <v>41.179333330602745</v>
      </c>
      <c r="AQ9" s="5" t="str">
        <f t="shared" si="22"/>
        <v>Kelly</v>
      </c>
      <c r="AR9" s="21">
        <f t="shared" si="22"/>
        <v>-0.2876820724517809</v>
      </c>
      <c r="AS9" s="21">
        <f t="shared" si="22"/>
        <v>0.2895833333333333</v>
      </c>
      <c r="AT9" s="21">
        <f t="shared" si="23"/>
        <v>3.4532374100719427</v>
      </c>
      <c r="AU9" s="21">
        <f t="shared" si="24"/>
        <v>-0.7241460877486139</v>
      </c>
      <c r="AV9" s="21">
        <f t="shared" si="25"/>
        <v>0.19050083664903406</v>
      </c>
      <c r="AW9" s="22">
        <f t="shared" si="26"/>
        <v>0.6578446157664486</v>
      </c>
    </row>
    <row r="10" spans="2:49" ht="13.5">
      <c r="B10" s="5" t="s">
        <v>38</v>
      </c>
      <c r="C10" s="6">
        <v>14</v>
      </c>
      <c r="D10" s="6">
        <v>66</v>
      </c>
      <c r="E10" s="6">
        <f t="shared" si="0"/>
        <v>80</v>
      </c>
      <c r="F10" s="6">
        <v>19</v>
      </c>
      <c r="G10" s="6">
        <v>61</v>
      </c>
      <c r="H10" s="7">
        <f t="shared" si="1"/>
        <v>80</v>
      </c>
      <c r="J10" s="75">
        <f t="shared" si="2"/>
        <v>0.6810207336523126</v>
      </c>
      <c r="K10" s="38">
        <f t="shared" si="3"/>
        <v>-0.3841625274042961</v>
      </c>
      <c r="L10" s="76">
        <f t="shared" si="4"/>
        <v>0.15560510815040582</v>
      </c>
      <c r="R10" s="5" t="str">
        <f t="shared" si="5"/>
        <v>Pilbeam</v>
      </c>
      <c r="S10" s="21">
        <f t="shared" si="6"/>
        <v>-0.3841625274042961</v>
      </c>
      <c r="T10" s="21">
        <f t="shared" si="6"/>
        <v>0.15560510815040582</v>
      </c>
      <c r="U10" s="21">
        <f t="shared" si="7"/>
        <v>6.426524243879021</v>
      </c>
      <c r="V10" s="21">
        <f t="shared" si="8"/>
        <v>-2.4688297959535475</v>
      </c>
      <c r="W10" s="21">
        <f t="shared" si="9"/>
        <v>0.9484318941445473</v>
      </c>
      <c r="X10" s="22">
        <f t="shared" si="10"/>
        <v>41.30021385716482</v>
      </c>
      <c r="Z10" s="5" t="str">
        <f t="shared" si="11"/>
        <v>Pilbeam</v>
      </c>
      <c r="AA10" s="21">
        <f t="shared" si="11"/>
        <v>-0.3841625274042961</v>
      </c>
      <c r="AB10" s="21">
        <f t="shared" si="11"/>
        <v>0.15560510815040582</v>
      </c>
      <c r="AC10" s="21">
        <f t="shared" si="12"/>
        <v>0.17290480744241968</v>
      </c>
      <c r="AD10" s="21">
        <f t="shared" si="13"/>
        <v>0.3285099155928255</v>
      </c>
      <c r="AE10" s="21">
        <f t="shared" si="14"/>
        <v>3.0440481475130228</v>
      </c>
      <c r="AF10" s="22">
        <f t="shared" si="15"/>
        <v>-1.1694092298889682</v>
      </c>
      <c r="AH10" s="5" t="str">
        <f t="shared" si="16"/>
        <v>Pilbeam</v>
      </c>
      <c r="AI10" s="21">
        <f t="shared" si="16"/>
        <v>-0.3841625274042961</v>
      </c>
      <c r="AJ10" s="21">
        <f t="shared" si="16"/>
        <v>0.15560510815040582</v>
      </c>
      <c r="AK10" s="21">
        <f t="shared" si="17"/>
        <v>6.426524243879021</v>
      </c>
      <c r="AL10" s="21">
        <f t="shared" si="18"/>
        <v>-2.4688297959535475</v>
      </c>
      <c r="AM10" s="21">
        <f t="shared" si="19"/>
        <v>0.9484318941445473</v>
      </c>
      <c r="AN10" s="21">
        <f t="shared" si="20"/>
        <v>41.30021385716482</v>
      </c>
      <c r="AO10" s="22">
        <f t="shared" si="21"/>
        <v>265.416825630458</v>
      </c>
      <c r="AQ10" s="5" t="str">
        <f t="shared" si="22"/>
        <v>Pilbeam</v>
      </c>
      <c r="AR10" s="21">
        <f t="shared" si="22"/>
        <v>-0.3841625274042961</v>
      </c>
      <c r="AS10" s="21">
        <f t="shared" si="22"/>
        <v>0.15560510815040582</v>
      </c>
      <c r="AT10" s="21">
        <f t="shared" si="23"/>
        <v>6.426524243879021</v>
      </c>
      <c r="AU10" s="21">
        <f t="shared" si="24"/>
        <v>-0.7241460877486139</v>
      </c>
      <c r="AV10" s="21">
        <f t="shared" si="25"/>
        <v>0.11558882130439839</v>
      </c>
      <c r="AW10" s="22">
        <f t="shared" si="26"/>
        <v>0.742834362434116</v>
      </c>
    </row>
    <row r="11" spans="2:49" ht="13.5">
      <c r="B11" s="5" t="s">
        <v>39</v>
      </c>
      <c r="C11" s="6">
        <v>25</v>
      </c>
      <c r="D11" s="6">
        <v>375</v>
      </c>
      <c r="E11" s="6">
        <f t="shared" si="0"/>
        <v>400</v>
      </c>
      <c r="F11" s="6">
        <v>80</v>
      </c>
      <c r="G11" s="6">
        <v>320</v>
      </c>
      <c r="H11" s="7">
        <f t="shared" si="1"/>
        <v>400</v>
      </c>
      <c r="J11" s="75">
        <f t="shared" si="2"/>
        <v>0.26666666666666666</v>
      </c>
      <c r="K11" s="38">
        <f t="shared" si="3"/>
        <v>-1.3217558399823195</v>
      </c>
      <c r="L11" s="76">
        <f t="shared" si="4"/>
        <v>0.05829166666666667</v>
      </c>
      <c r="R11" s="5" t="str">
        <f t="shared" si="5"/>
        <v>Lane</v>
      </c>
      <c r="S11" s="21">
        <f t="shared" si="6"/>
        <v>-1.3217558399823195</v>
      </c>
      <c r="T11" s="21">
        <f t="shared" si="6"/>
        <v>0.05829166666666667</v>
      </c>
      <c r="U11" s="21">
        <f t="shared" si="7"/>
        <v>17.155110793423873</v>
      </c>
      <c r="V11" s="21">
        <f t="shared" si="8"/>
        <v>-22.674867876751726</v>
      </c>
      <c r="W11" s="21">
        <f t="shared" si="9"/>
        <v>29.97063903692409</v>
      </c>
      <c r="X11" s="22">
        <f t="shared" si="10"/>
        <v>294.2978263346483</v>
      </c>
      <c r="Z11" s="5" t="str">
        <f t="shared" si="11"/>
        <v>Lane</v>
      </c>
      <c r="AA11" s="21">
        <f t="shared" si="11"/>
        <v>-1.3217558399823195</v>
      </c>
      <c r="AB11" s="21">
        <f t="shared" si="11"/>
        <v>0.05829166666666667</v>
      </c>
      <c r="AC11" s="21">
        <f t="shared" si="12"/>
        <v>0.17290480744241968</v>
      </c>
      <c r="AD11" s="21">
        <f t="shared" si="13"/>
        <v>0.23119647410908634</v>
      </c>
      <c r="AE11" s="21">
        <f t="shared" si="14"/>
        <v>4.325325478485308</v>
      </c>
      <c r="AF11" s="22">
        <f t="shared" si="15"/>
        <v>-5.7170242110122755</v>
      </c>
      <c r="AH11" s="5" t="str">
        <f t="shared" si="16"/>
        <v>Lane</v>
      </c>
      <c r="AI11" s="21">
        <f t="shared" si="16"/>
        <v>-1.3217558399823195</v>
      </c>
      <c r="AJ11" s="21">
        <f t="shared" si="16"/>
        <v>0.05829166666666667</v>
      </c>
      <c r="AK11" s="21">
        <f t="shared" si="17"/>
        <v>17.155110793423873</v>
      </c>
      <c r="AL11" s="21">
        <f t="shared" si="18"/>
        <v>-22.674867876751726</v>
      </c>
      <c r="AM11" s="21">
        <f t="shared" si="19"/>
        <v>29.97063903692409</v>
      </c>
      <c r="AN11" s="21">
        <f t="shared" si="20"/>
        <v>294.2978263346483</v>
      </c>
      <c r="AO11" s="22">
        <f t="shared" si="21"/>
        <v>5048.711817034709</v>
      </c>
      <c r="AQ11" s="5" t="str">
        <f t="shared" si="22"/>
        <v>Lane</v>
      </c>
      <c r="AR11" s="21">
        <f t="shared" si="22"/>
        <v>-1.3217558399823195</v>
      </c>
      <c r="AS11" s="21">
        <f t="shared" si="22"/>
        <v>0.05829166666666667</v>
      </c>
      <c r="AT11" s="21">
        <f t="shared" si="23"/>
        <v>17.155110793423873</v>
      </c>
      <c r="AU11" s="21">
        <f t="shared" si="24"/>
        <v>-0.7241460877486139</v>
      </c>
      <c r="AV11" s="21">
        <f t="shared" si="25"/>
        <v>0.357137415964831</v>
      </c>
      <c r="AW11" s="22">
        <f t="shared" si="26"/>
        <v>6.126731939353784</v>
      </c>
    </row>
    <row r="12" spans="2:49" ht="13.5">
      <c r="B12" s="5" t="s">
        <v>40</v>
      </c>
      <c r="C12" s="6">
        <v>8</v>
      </c>
      <c r="D12" s="6">
        <v>32</v>
      </c>
      <c r="E12" s="6">
        <f t="shared" si="0"/>
        <v>40</v>
      </c>
      <c r="F12" s="6">
        <v>11</v>
      </c>
      <c r="G12" s="6">
        <v>29</v>
      </c>
      <c r="H12" s="7">
        <f t="shared" si="1"/>
        <v>40</v>
      </c>
      <c r="J12" s="75">
        <f t="shared" si="2"/>
        <v>0.6590909090909091</v>
      </c>
      <c r="K12" s="38">
        <f t="shared" si="3"/>
        <v>-0.41689380393178715</v>
      </c>
      <c r="L12" s="76">
        <f t="shared" si="4"/>
        <v>0.28164184952978055</v>
      </c>
      <c r="R12" s="5" t="str">
        <f t="shared" si="5"/>
        <v>Wright</v>
      </c>
      <c r="S12" s="21">
        <f t="shared" si="6"/>
        <v>-0.41689380393178715</v>
      </c>
      <c r="T12" s="21">
        <f t="shared" si="6"/>
        <v>0.28164184952978055</v>
      </c>
      <c r="U12" s="21">
        <f t="shared" si="7"/>
        <v>3.550608695652174</v>
      </c>
      <c r="V12" s="21">
        <f t="shared" si="8"/>
        <v>-1.480226765403716</v>
      </c>
      <c r="W12" s="21">
        <f t="shared" si="9"/>
        <v>0.6170973669108003</v>
      </c>
      <c r="X12" s="22">
        <f t="shared" si="10"/>
        <v>12.606822109640833</v>
      </c>
      <c r="Z12" s="5" t="str">
        <f t="shared" si="11"/>
        <v>Wright</v>
      </c>
      <c r="AA12" s="21">
        <f t="shared" si="11"/>
        <v>-0.41689380393178715</v>
      </c>
      <c r="AB12" s="21">
        <f t="shared" si="11"/>
        <v>0.28164184952978055</v>
      </c>
      <c r="AC12" s="21">
        <f t="shared" si="12"/>
        <v>0.17290480744241968</v>
      </c>
      <c r="AD12" s="21">
        <f t="shared" si="13"/>
        <v>0.4545466569722002</v>
      </c>
      <c r="AE12" s="21">
        <f t="shared" si="14"/>
        <v>2.1999941802699463</v>
      </c>
      <c r="AF12" s="22">
        <f t="shared" si="15"/>
        <v>-0.9171639424405318</v>
      </c>
      <c r="AH12" s="5" t="str">
        <f t="shared" si="16"/>
        <v>Wright</v>
      </c>
      <c r="AI12" s="21">
        <f t="shared" si="16"/>
        <v>-0.41689380393178715</v>
      </c>
      <c r="AJ12" s="21">
        <f t="shared" si="16"/>
        <v>0.28164184952978055</v>
      </c>
      <c r="AK12" s="21">
        <f t="shared" si="17"/>
        <v>3.550608695652174</v>
      </c>
      <c r="AL12" s="21">
        <f t="shared" si="18"/>
        <v>-1.480226765403716</v>
      </c>
      <c r="AM12" s="21">
        <f t="shared" si="19"/>
        <v>0.6170973669108003</v>
      </c>
      <c r="AN12" s="21">
        <f t="shared" si="20"/>
        <v>12.606822109640833</v>
      </c>
      <c r="AO12" s="22">
        <f t="shared" si="21"/>
        <v>44.761892207030826</v>
      </c>
      <c r="AQ12" s="5" t="str">
        <f t="shared" si="22"/>
        <v>Wright</v>
      </c>
      <c r="AR12" s="21">
        <f t="shared" si="22"/>
        <v>-0.41689380393178715</v>
      </c>
      <c r="AS12" s="21">
        <f t="shared" si="22"/>
        <v>0.28164184952978055</v>
      </c>
      <c r="AT12" s="21">
        <f t="shared" si="23"/>
        <v>3.550608695652174</v>
      </c>
      <c r="AU12" s="21">
        <f t="shared" si="24"/>
        <v>-0.7241460877486139</v>
      </c>
      <c r="AV12" s="21">
        <f t="shared" si="25"/>
        <v>0.09440396591065585</v>
      </c>
      <c r="AW12" s="22">
        <f t="shared" si="26"/>
        <v>0.33519154226642606</v>
      </c>
    </row>
    <row r="13" spans="2:49" ht="13.5">
      <c r="B13" s="5" t="s">
        <v>41</v>
      </c>
      <c r="C13" s="6">
        <v>16</v>
      </c>
      <c r="D13" s="6">
        <v>49</v>
      </c>
      <c r="E13" s="6">
        <f t="shared" si="0"/>
        <v>65</v>
      </c>
      <c r="F13" s="6">
        <v>18</v>
      </c>
      <c r="G13" s="6">
        <v>47</v>
      </c>
      <c r="H13" s="7">
        <f t="shared" si="1"/>
        <v>65</v>
      </c>
      <c r="J13" s="75">
        <f t="shared" si="2"/>
        <v>0.8526077097505669</v>
      </c>
      <c r="K13" s="38">
        <f t="shared" si="3"/>
        <v>-0.1594557320569515</v>
      </c>
      <c r="L13" s="76">
        <f t="shared" si="4"/>
        <v>0.15974031456554252</v>
      </c>
      <c r="R13" s="5" t="str">
        <f t="shared" si="5"/>
        <v>Day</v>
      </c>
      <c r="S13" s="21">
        <f t="shared" si="6"/>
        <v>-0.1594557320569515</v>
      </c>
      <c r="T13" s="21">
        <f t="shared" si="6"/>
        <v>0.15974031456554252</v>
      </c>
      <c r="U13" s="21">
        <f t="shared" si="7"/>
        <v>6.260160453043889</v>
      </c>
      <c r="V13" s="21">
        <f t="shared" si="8"/>
        <v>-0.9982184678340903</v>
      </c>
      <c r="W13" s="21">
        <f t="shared" si="9"/>
        <v>0.15917165654125337</v>
      </c>
      <c r="X13" s="22">
        <f t="shared" si="10"/>
        <v>39.18960889785466</v>
      </c>
      <c r="Z13" s="5" t="str">
        <f t="shared" si="11"/>
        <v>Day</v>
      </c>
      <c r="AA13" s="21">
        <f t="shared" si="11"/>
        <v>-0.1594557320569515</v>
      </c>
      <c r="AB13" s="21">
        <f t="shared" si="11"/>
        <v>0.15974031456554252</v>
      </c>
      <c r="AC13" s="21">
        <f t="shared" si="12"/>
        <v>0.17290480744241968</v>
      </c>
      <c r="AD13" s="21">
        <f t="shared" si="13"/>
        <v>0.3326451220079622</v>
      </c>
      <c r="AE13" s="21">
        <f t="shared" si="14"/>
        <v>3.0062067165261603</v>
      </c>
      <c r="AF13" s="22">
        <f t="shared" si="15"/>
        <v>-0.47935689269820336</v>
      </c>
      <c r="AH13" s="5" t="str">
        <f t="shared" si="16"/>
        <v>Day</v>
      </c>
      <c r="AI13" s="21">
        <f t="shared" si="16"/>
        <v>-0.1594557320569515</v>
      </c>
      <c r="AJ13" s="21">
        <f t="shared" si="16"/>
        <v>0.15974031456554252</v>
      </c>
      <c r="AK13" s="21">
        <f t="shared" si="17"/>
        <v>6.260160453043889</v>
      </c>
      <c r="AL13" s="21">
        <f t="shared" si="18"/>
        <v>-0.9982184678340903</v>
      </c>
      <c r="AM13" s="21">
        <f t="shared" si="19"/>
        <v>0.15917165654125337</v>
      </c>
      <c r="AN13" s="21">
        <f t="shared" si="20"/>
        <v>39.18960889785466</v>
      </c>
      <c r="AO13" s="22">
        <f t="shared" si="21"/>
        <v>245.33323979260663</v>
      </c>
      <c r="AQ13" s="5" t="str">
        <f t="shared" si="22"/>
        <v>Day</v>
      </c>
      <c r="AR13" s="21">
        <f t="shared" si="22"/>
        <v>-0.1594557320569515</v>
      </c>
      <c r="AS13" s="21">
        <f t="shared" si="22"/>
        <v>0.15974031456554252</v>
      </c>
      <c r="AT13" s="21">
        <f t="shared" si="23"/>
        <v>6.260160453043889</v>
      </c>
      <c r="AU13" s="21">
        <f t="shared" si="24"/>
        <v>-0.7241460877486139</v>
      </c>
      <c r="AV13" s="21">
        <f t="shared" si="25"/>
        <v>0.3188751978111762</v>
      </c>
      <c r="AW13" s="22">
        <f t="shared" si="26"/>
        <v>1.9962099027940723</v>
      </c>
    </row>
    <row r="14" spans="2:49" ht="13.5">
      <c r="B14" s="5"/>
      <c r="C14" s="6"/>
      <c r="D14" s="6"/>
      <c r="E14" s="6"/>
      <c r="F14" s="6"/>
      <c r="G14" s="6"/>
      <c r="H14" s="7"/>
      <c r="J14" s="5"/>
      <c r="K14" s="6"/>
      <c r="L14" s="7"/>
      <c r="R14" s="5"/>
      <c r="S14" s="21"/>
      <c r="T14" s="21"/>
      <c r="U14" s="21"/>
      <c r="V14" s="21"/>
      <c r="W14" s="21"/>
      <c r="X14" s="22"/>
      <c r="Z14" s="5"/>
      <c r="AA14" s="21"/>
      <c r="AB14" s="21"/>
      <c r="AC14" s="21"/>
      <c r="AD14" s="21"/>
      <c r="AE14" s="21"/>
      <c r="AF14" s="22"/>
      <c r="AH14" s="5"/>
      <c r="AI14" s="21"/>
      <c r="AJ14" s="21"/>
      <c r="AK14" s="21"/>
      <c r="AL14" s="21"/>
      <c r="AM14" s="21"/>
      <c r="AN14" s="21"/>
      <c r="AO14" s="22"/>
      <c r="AQ14" s="5"/>
      <c r="AR14" s="21"/>
      <c r="AS14" s="21"/>
      <c r="AT14" s="21"/>
      <c r="AU14" s="21"/>
      <c r="AV14" s="21"/>
      <c r="AW14" s="22"/>
    </row>
    <row r="15" spans="2:49" ht="15" thickBot="1">
      <c r="B15" s="44"/>
      <c r="C15" s="58"/>
      <c r="D15" s="58"/>
      <c r="E15" s="58"/>
      <c r="F15" s="58"/>
      <c r="G15" s="58"/>
      <c r="H15" s="60"/>
      <c r="J15" s="44"/>
      <c r="K15" s="58"/>
      <c r="L15" s="60"/>
      <c r="R15" s="44"/>
      <c r="S15" s="45"/>
      <c r="T15" s="45"/>
      <c r="U15" s="45">
        <f>SUM(U8:U14)</f>
        <v>42.24785178025291</v>
      </c>
      <c r="V15" s="45">
        <f>SUM(V8:V14)</f>
        <v>-30.593616582453457</v>
      </c>
      <c r="W15" s="45">
        <f>SUM(W8:W14)</f>
        <v>32.70539959001069</v>
      </c>
      <c r="X15" s="46">
        <f>SUM(X8:X14)</f>
        <v>428.5031946837089</v>
      </c>
      <c r="Z15" s="44"/>
      <c r="AA15" s="45"/>
      <c r="AB15" s="45"/>
      <c r="AC15" s="45"/>
      <c r="AD15" s="45"/>
      <c r="AE15" s="45">
        <f>SUM(AE8:AE14)</f>
        <v>17.530977202943838</v>
      </c>
      <c r="AF15" s="46">
        <f>SUM(AF8:AF14)</f>
        <v>-9.927720533987625</v>
      </c>
      <c r="AH15" s="44"/>
      <c r="AI15" s="45"/>
      <c r="AJ15" s="45"/>
      <c r="AK15" s="45">
        <f>SUM(AK8:AK14)</f>
        <v>42.24785178025291</v>
      </c>
      <c r="AL15" s="45">
        <f>SUM(AL8:AL14)</f>
        <v>-30.593616582453457</v>
      </c>
      <c r="AM15" s="45">
        <f>SUM(AM8:AM14)</f>
        <v>32.70539959001069</v>
      </c>
      <c r="AN15" s="45">
        <f>SUM(AN8:AN14)</f>
        <v>428.5031946837089</v>
      </c>
      <c r="AO15" s="46">
        <f>SUM(AO8:AO14)</f>
        <v>5803.060534054056</v>
      </c>
      <c r="AQ15" s="44"/>
      <c r="AR15" s="45"/>
      <c r="AS15" s="45"/>
      <c r="AT15" s="45"/>
      <c r="AU15" s="45"/>
      <c r="AV15" s="45"/>
      <c r="AW15" s="46">
        <f>SUM(AW8:AW14)</f>
        <v>10.551151831745905</v>
      </c>
    </row>
    <row r="17" spans="18:41" ht="13.5">
      <c r="R17" s="90" t="s">
        <v>105</v>
      </c>
      <c r="S17" s="90"/>
      <c r="T17" s="90"/>
      <c r="U17" s="90"/>
      <c r="V17" s="90"/>
      <c r="W17" s="90"/>
      <c r="X17" s="90"/>
      <c r="Z17" s="90" t="s">
        <v>145</v>
      </c>
      <c r="AA17" s="90"/>
      <c r="AB17" s="90"/>
      <c r="AC17" s="90"/>
      <c r="AD17" s="90"/>
      <c r="AE17" s="90"/>
      <c r="AF17" s="90"/>
      <c r="AH17" s="90" t="s">
        <v>163</v>
      </c>
      <c r="AI17" s="90"/>
      <c r="AJ17" s="90"/>
      <c r="AK17" s="90"/>
      <c r="AL17" s="90"/>
      <c r="AM17" s="90"/>
      <c r="AN17" s="90"/>
      <c r="AO17" s="90"/>
    </row>
    <row r="18" spans="18:41" ht="15" thickBot="1">
      <c r="R18" s="103"/>
      <c r="S18" s="103"/>
      <c r="T18" s="103"/>
      <c r="U18" s="103"/>
      <c r="V18" s="103"/>
      <c r="W18" s="103"/>
      <c r="X18" s="103"/>
      <c r="Z18" s="103"/>
      <c r="AA18" s="103"/>
      <c r="AB18" s="103"/>
      <c r="AC18" s="103"/>
      <c r="AD18" s="103"/>
      <c r="AE18" s="103"/>
      <c r="AF18" s="103"/>
      <c r="AN18" s="21"/>
      <c r="AO18" s="21"/>
    </row>
    <row r="19" spans="18:41" ht="13.5">
      <c r="R19" s="100" t="s">
        <v>189</v>
      </c>
      <c r="S19" s="101"/>
      <c r="T19" s="101"/>
      <c r="U19" s="101"/>
      <c r="V19" s="101"/>
      <c r="W19" s="101"/>
      <c r="X19" s="102"/>
      <c r="Z19" s="100" t="s">
        <v>174</v>
      </c>
      <c r="AA19" s="101"/>
      <c r="AB19" s="101"/>
      <c r="AC19" s="101"/>
      <c r="AD19" s="101"/>
      <c r="AE19" s="101"/>
      <c r="AF19" s="102"/>
      <c r="AH19" s="71" t="s">
        <v>80</v>
      </c>
      <c r="AI19" s="53"/>
      <c r="AJ19" s="53"/>
      <c r="AK19" s="53"/>
      <c r="AL19" s="53"/>
      <c r="AM19" s="53"/>
      <c r="AN19" s="54"/>
      <c r="AO19" s="55"/>
    </row>
    <row r="20" spans="18:41" ht="13.5">
      <c r="R20" s="5"/>
      <c r="S20" s="6"/>
      <c r="T20" s="6"/>
      <c r="U20" s="6"/>
      <c r="V20" s="6"/>
      <c r="W20" s="6"/>
      <c r="X20" s="7"/>
      <c r="Z20" s="5"/>
      <c r="AA20" s="6"/>
      <c r="AB20" s="6"/>
      <c r="AC20" s="6"/>
      <c r="AD20" s="6"/>
      <c r="AE20" s="6"/>
      <c r="AF20" s="7"/>
      <c r="AH20" s="5"/>
      <c r="AI20" s="6"/>
      <c r="AJ20" s="6"/>
      <c r="AK20" s="6"/>
      <c r="AL20" s="6"/>
      <c r="AM20" s="6"/>
      <c r="AN20" s="36" t="s">
        <v>81</v>
      </c>
      <c r="AO20" s="65" t="s">
        <v>176</v>
      </c>
    </row>
    <row r="21" spans="18:41" ht="13.5">
      <c r="R21" s="5"/>
      <c r="S21" s="6"/>
      <c r="T21" s="6"/>
      <c r="U21" s="6"/>
      <c r="V21" s="6"/>
      <c r="W21" s="6"/>
      <c r="X21" s="7"/>
      <c r="Z21" s="5"/>
      <c r="AA21" s="6"/>
      <c r="AB21" s="6"/>
      <c r="AC21" s="6"/>
      <c r="AD21" s="6"/>
      <c r="AE21" s="6"/>
      <c r="AF21" s="7"/>
      <c r="AH21" s="40" t="s">
        <v>116</v>
      </c>
      <c r="AI21" s="6"/>
      <c r="AJ21" s="6"/>
      <c r="AK21" s="6"/>
      <c r="AL21" s="6"/>
      <c r="AM21" s="6"/>
      <c r="AN21" s="6"/>
      <c r="AO21" s="7"/>
    </row>
    <row r="22" spans="18:41" ht="13.5">
      <c r="R22" s="5"/>
      <c r="S22" s="6"/>
      <c r="T22" s="6"/>
      <c r="U22" s="6"/>
      <c r="V22" s="6"/>
      <c r="W22" s="36" t="s">
        <v>81</v>
      </c>
      <c r="X22" s="65" t="s">
        <v>176</v>
      </c>
      <c r="Z22" s="5"/>
      <c r="AA22" s="6"/>
      <c r="AB22" s="6"/>
      <c r="AC22" s="6"/>
      <c r="AD22" s="6"/>
      <c r="AE22" s="36" t="s">
        <v>81</v>
      </c>
      <c r="AF22" s="65" t="s">
        <v>176</v>
      </c>
      <c r="AH22" s="5" t="s">
        <v>117</v>
      </c>
      <c r="AI22" s="6"/>
      <c r="AJ22" s="6"/>
      <c r="AK22" s="6"/>
      <c r="AL22" s="37" t="s">
        <v>21</v>
      </c>
      <c r="AM22" s="6">
        <f>W15-(V15^2/U15)</f>
        <v>10.551151831745905</v>
      </c>
      <c r="AN22" s="6">
        <v>16.3</v>
      </c>
      <c r="AO22" s="64" t="s">
        <v>183</v>
      </c>
    </row>
    <row r="23" spans="18:41" ht="13.5">
      <c r="R23" s="40" t="s">
        <v>75</v>
      </c>
      <c r="S23" s="6"/>
      <c r="T23" s="6"/>
      <c r="U23" s="6"/>
      <c r="V23" s="6"/>
      <c r="W23" s="6"/>
      <c r="X23" s="7"/>
      <c r="Z23" s="40" t="s">
        <v>75</v>
      </c>
      <c r="AA23" s="6"/>
      <c r="AB23" s="6"/>
      <c r="AC23" s="6"/>
      <c r="AD23" s="6"/>
      <c r="AE23" s="36"/>
      <c r="AF23" s="65"/>
      <c r="AH23" s="5" t="s">
        <v>118</v>
      </c>
      <c r="AI23" s="6"/>
      <c r="AJ23" s="6"/>
      <c r="AK23" s="6"/>
      <c r="AL23" s="37" t="s">
        <v>22</v>
      </c>
      <c r="AM23" s="6">
        <f>COUNT(AI8:AI13)-1</f>
        <v>5</v>
      </c>
      <c r="AN23" s="6">
        <v>16.4</v>
      </c>
      <c r="AO23" s="64" t="s">
        <v>240</v>
      </c>
    </row>
    <row r="24" spans="18:41" ht="13.5">
      <c r="R24" s="96" t="s">
        <v>60</v>
      </c>
      <c r="S24" s="97"/>
      <c r="T24" s="6"/>
      <c r="U24" s="37" t="s">
        <v>19</v>
      </c>
      <c r="V24" s="21">
        <f>V15/U15</f>
        <v>-0.7241460877486139</v>
      </c>
      <c r="W24" s="6">
        <v>11.3</v>
      </c>
      <c r="X24" s="64" t="s">
        <v>228</v>
      </c>
      <c r="Z24" s="96" t="s">
        <v>60</v>
      </c>
      <c r="AA24" s="97"/>
      <c r="AB24" s="6"/>
      <c r="AC24" s="37" t="s">
        <v>30</v>
      </c>
      <c r="AD24" s="38">
        <f>AF15/AE15</f>
        <v>-0.5662959011960007</v>
      </c>
      <c r="AE24" s="6">
        <v>12.7</v>
      </c>
      <c r="AF24" s="64" t="s">
        <v>229</v>
      </c>
      <c r="AH24" s="5" t="s">
        <v>128</v>
      </c>
      <c r="AI24" s="6"/>
      <c r="AJ24" s="6"/>
      <c r="AK24" s="6"/>
      <c r="AL24" s="37" t="s">
        <v>24</v>
      </c>
      <c r="AM24" s="6">
        <f>CHIDIST(AM22,AM23)</f>
        <v>0.06104248808748739</v>
      </c>
      <c r="AN24" s="6"/>
      <c r="AO24" s="64" t="s">
        <v>240</v>
      </c>
    </row>
    <row r="25" spans="18:41" ht="15.75">
      <c r="R25" s="96" t="s">
        <v>61</v>
      </c>
      <c r="S25" s="97"/>
      <c r="T25" s="6"/>
      <c r="U25" s="37" t="s">
        <v>68</v>
      </c>
      <c r="V25" s="21">
        <f>1/U15</f>
        <v>0.023669842556761918</v>
      </c>
      <c r="W25" s="6">
        <v>11.4</v>
      </c>
      <c r="X25" s="64" t="s">
        <v>228</v>
      </c>
      <c r="Z25" s="96" t="s">
        <v>61</v>
      </c>
      <c r="AA25" s="97"/>
      <c r="AB25" s="6"/>
      <c r="AC25" s="37" t="s">
        <v>109</v>
      </c>
      <c r="AD25" s="38">
        <f>1/AE15</f>
        <v>0.05704188582437252</v>
      </c>
      <c r="AE25" s="6">
        <v>12.8</v>
      </c>
      <c r="AF25" s="64" t="s">
        <v>233</v>
      </c>
      <c r="AH25" s="5" t="s">
        <v>119</v>
      </c>
      <c r="AI25" s="6"/>
      <c r="AJ25" s="6"/>
      <c r="AK25" s="6"/>
      <c r="AL25" s="37" t="s">
        <v>23</v>
      </c>
      <c r="AM25" s="6">
        <f>AK15-(AN15/AK15)</f>
        <v>32.10524862702002</v>
      </c>
      <c r="AN25" s="6">
        <v>16.6</v>
      </c>
      <c r="AO25" s="64" t="s">
        <v>240</v>
      </c>
    </row>
    <row r="26" spans="18:41" ht="15.75">
      <c r="R26" s="96" t="s">
        <v>62</v>
      </c>
      <c r="S26" s="97"/>
      <c r="T26" s="6"/>
      <c r="U26" s="37" t="s">
        <v>69</v>
      </c>
      <c r="V26" s="21">
        <f>SQRT(V25)</f>
        <v>0.15385006518283284</v>
      </c>
      <c r="W26" s="6">
        <v>11.5</v>
      </c>
      <c r="X26" s="64" t="s">
        <v>228</v>
      </c>
      <c r="Z26" s="96" t="s">
        <v>62</v>
      </c>
      <c r="AA26" s="97"/>
      <c r="AB26" s="6"/>
      <c r="AC26" s="37" t="s">
        <v>110</v>
      </c>
      <c r="AD26" s="38">
        <f>SQRT(AD25)</f>
        <v>0.23883443182332928</v>
      </c>
      <c r="AE26" s="6">
        <v>12.9</v>
      </c>
      <c r="AF26" s="64" t="s">
        <v>233</v>
      </c>
      <c r="AH26" s="5"/>
      <c r="AI26" s="6"/>
      <c r="AJ26" s="6"/>
      <c r="AK26" s="6"/>
      <c r="AL26" s="6" t="s">
        <v>26</v>
      </c>
      <c r="AM26" s="6">
        <f>(AM23+2*(AK15-AN15/AK15)*AM29+(AN15-2*(AO15/AK15)+AN15^2/AK15^2)*AM29^2)</f>
        <v>23.775445610416106</v>
      </c>
      <c r="AN26" s="61">
        <v>16.11</v>
      </c>
      <c r="AO26" s="64" t="s">
        <v>240</v>
      </c>
    </row>
    <row r="27" spans="18:41" ht="13.5">
      <c r="R27" s="5"/>
      <c r="S27" s="6"/>
      <c r="T27" s="6"/>
      <c r="U27" s="6"/>
      <c r="V27" s="21"/>
      <c r="W27" s="6"/>
      <c r="X27" s="64"/>
      <c r="Z27" s="5"/>
      <c r="AA27" s="6"/>
      <c r="AB27" s="6"/>
      <c r="AC27" s="6"/>
      <c r="AD27" s="6"/>
      <c r="AE27" s="6"/>
      <c r="AF27" s="64"/>
      <c r="AH27" s="5"/>
      <c r="AI27" s="6"/>
      <c r="AJ27" s="6"/>
      <c r="AK27" s="6"/>
      <c r="AL27" s="6"/>
      <c r="AM27" s="6"/>
      <c r="AN27" s="6"/>
      <c r="AO27" s="7"/>
    </row>
    <row r="28" spans="18:41" ht="15.75">
      <c r="R28" s="40" t="s">
        <v>76</v>
      </c>
      <c r="S28" s="6"/>
      <c r="T28" s="6"/>
      <c r="U28" s="6"/>
      <c r="V28" s="21"/>
      <c r="W28" s="6"/>
      <c r="X28" s="64"/>
      <c r="Z28" s="40" t="s">
        <v>76</v>
      </c>
      <c r="AA28" s="6"/>
      <c r="AB28" s="6"/>
      <c r="AC28" s="6"/>
      <c r="AD28" s="6"/>
      <c r="AE28" s="6"/>
      <c r="AF28" s="64"/>
      <c r="AH28" s="88" t="s">
        <v>246</v>
      </c>
      <c r="AI28" s="6"/>
      <c r="AJ28" s="6"/>
      <c r="AK28" s="6"/>
      <c r="AL28" s="6"/>
      <c r="AM28" s="6"/>
      <c r="AN28" s="6"/>
      <c r="AO28" s="7"/>
    </row>
    <row r="29" spans="18:41" ht="16.5">
      <c r="R29" s="96" t="s">
        <v>63</v>
      </c>
      <c r="S29" s="97"/>
      <c r="T29" s="6"/>
      <c r="U29" s="37" t="s">
        <v>70</v>
      </c>
      <c r="V29" s="21">
        <f>V24-1.96*V26</f>
        <v>-1.0256922155069663</v>
      </c>
      <c r="W29" s="6">
        <v>11.6</v>
      </c>
      <c r="X29" s="64" t="s">
        <v>228</v>
      </c>
      <c r="Z29" s="96" t="s">
        <v>63</v>
      </c>
      <c r="AA29" s="97"/>
      <c r="AB29" s="6"/>
      <c r="AC29" s="37" t="s">
        <v>111</v>
      </c>
      <c r="AD29" s="38">
        <f>AD24-1.96*AD26</f>
        <v>-1.034411387569726</v>
      </c>
      <c r="AE29" s="47" t="s">
        <v>88</v>
      </c>
      <c r="AF29" s="64" t="s">
        <v>233</v>
      </c>
      <c r="AH29" s="5" t="s">
        <v>120</v>
      </c>
      <c r="AI29" s="6"/>
      <c r="AJ29" s="6"/>
      <c r="AK29" s="6"/>
      <c r="AL29" s="37" t="s">
        <v>129</v>
      </c>
      <c r="AM29" s="6">
        <f>MAX((AM22-AM23)/AM25,0)</f>
        <v>0.17290480744241968</v>
      </c>
      <c r="AN29" s="6">
        <v>16.5</v>
      </c>
      <c r="AO29" s="64" t="s">
        <v>240</v>
      </c>
    </row>
    <row r="30" spans="18:41" ht="16.5">
      <c r="R30" s="96" t="s">
        <v>64</v>
      </c>
      <c r="S30" s="97"/>
      <c r="T30" s="6"/>
      <c r="U30" s="37" t="s">
        <v>71</v>
      </c>
      <c r="V30" s="21">
        <f>V24+1.96*V26</f>
        <v>-0.4225999599902615</v>
      </c>
      <c r="W30" s="6">
        <v>11.7</v>
      </c>
      <c r="X30" s="64" t="s">
        <v>228</v>
      </c>
      <c r="Z30" s="96" t="s">
        <v>64</v>
      </c>
      <c r="AA30" s="97"/>
      <c r="AB30" s="6"/>
      <c r="AC30" s="37" t="s">
        <v>112</v>
      </c>
      <c r="AD30" s="38">
        <f>AD24+1.96*AD26</f>
        <v>-0.09818041482227535</v>
      </c>
      <c r="AE30" s="6">
        <v>12.11</v>
      </c>
      <c r="AF30" s="64" t="s">
        <v>233</v>
      </c>
      <c r="AH30" s="5" t="s">
        <v>147</v>
      </c>
      <c r="AI30" s="6"/>
      <c r="AJ30" s="6"/>
      <c r="AK30" s="6"/>
      <c r="AL30" s="37" t="s">
        <v>130</v>
      </c>
      <c r="AM30" s="6">
        <f>2*(AM26/AM25^2)</f>
        <v>0.046132457052708804</v>
      </c>
      <c r="AN30" s="61">
        <v>16.12</v>
      </c>
      <c r="AO30" s="64" t="s">
        <v>240</v>
      </c>
    </row>
    <row r="31" spans="18:41" ht="16.5">
      <c r="R31" s="5"/>
      <c r="S31" s="6"/>
      <c r="T31" s="6"/>
      <c r="U31" s="6"/>
      <c r="V31" s="21"/>
      <c r="W31" s="6"/>
      <c r="X31" s="64"/>
      <c r="Z31" s="5"/>
      <c r="AA31" s="6"/>
      <c r="AB31" s="6"/>
      <c r="AC31" s="6"/>
      <c r="AD31" s="6"/>
      <c r="AE31" s="6"/>
      <c r="AF31" s="64"/>
      <c r="AH31" s="5" t="s">
        <v>148</v>
      </c>
      <c r="AI31" s="6"/>
      <c r="AJ31" s="6"/>
      <c r="AK31" s="6"/>
      <c r="AL31" s="37" t="s">
        <v>131</v>
      </c>
      <c r="AM31" s="6">
        <f>SQRT(AM30)</f>
        <v>0.21478467601928403</v>
      </c>
      <c r="AN31" s="61">
        <v>16.13</v>
      </c>
      <c r="AO31" s="64" t="s">
        <v>240</v>
      </c>
    </row>
    <row r="32" spans="18:41" ht="13.5">
      <c r="R32" s="40" t="s">
        <v>77</v>
      </c>
      <c r="S32" s="6"/>
      <c r="T32" s="6"/>
      <c r="U32" s="6"/>
      <c r="V32" s="21"/>
      <c r="W32" s="6"/>
      <c r="X32" s="64"/>
      <c r="Z32" s="40" t="s">
        <v>77</v>
      </c>
      <c r="AA32" s="6"/>
      <c r="AB32" s="6"/>
      <c r="AC32" s="6"/>
      <c r="AD32" s="6"/>
      <c r="AE32" s="6"/>
      <c r="AF32" s="64"/>
      <c r="AH32" s="5" t="s">
        <v>149</v>
      </c>
      <c r="AI32" s="6"/>
      <c r="AJ32" s="6"/>
      <c r="AK32" s="6"/>
      <c r="AL32" s="37" t="s">
        <v>27</v>
      </c>
      <c r="AM32" s="6">
        <f>0.5*(LN(AM22)-LN(AM23))/(SQRT(2*AM22)-SQRT(2*AM23-1))</f>
        <v>0.23429305909993067</v>
      </c>
      <c r="AN32" s="62" t="s">
        <v>177</v>
      </c>
      <c r="AO32" s="64" t="s">
        <v>241</v>
      </c>
    </row>
    <row r="33" spans="18:41" ht="13.5">
      <c r="R33" s="96" t="s">
        <v>65</v>
      </c>
      <c r="S33" s="97"/>
      <c r="T33" s="6"/>
      <c r="U33" s="37" t="s">
        <v>20</v>
      </c>
      <c r="V33" s="21">
        <f>V24/V26</f>
        <v>-4.7068299053890605</v>
      </c>
      <c r="W33" s="39">
        <v>11.8</v>
      </c>
      <c r="X33" s="64" t="s">
        <v>228</v>
      </c>
      <c r="Z33" s="96" t="s">
        <v>65</v>
      </c>
      <c r="AA33" s="97"/>
      <c r="AB33" s="6"/>
      <c r="AC33" s="37" t="s">
        <v>113</v>
      </c>
      <c r="AD33" s="38">
        <f>AD24/AD26</f>
        <v>-2.3710814930357333</v>
      </c>
      <c r="AE33" s="6">
        <v>12.12</v>
      </c>
      <c r="AF33" s="64" t="s">
        <v>233</v>
      </c>
      <c r="AH33" s="5" t="s">
        <v>150</v>
      </c>
      <c r="AI33" s="6"/>
      <c r="AJ33" s="6"/>
      <c r="AK33" s="6"/>
      <c r="AL33" s="37" t="s">
        <v>28</v>
      </c>
      <c r="AM33" s="6">
        <f>EXP(0.5*LN(AM22/AM23)-1.96*AM32)</f>
        <v>0.9177632347073753</v>
      </c>
      <c r="AN33" s="61">
        <v>16.16</v>
      </c>
      <c r="AO33" s="64" t="s">
        <v>241</v>
      </c>
    </row>
    <row r="34" spans="18:41" ht="15.75">
      <c r="R34" s="5" t="s">
        <v>78</v>
      </c>
      <c r="S34" s="6"/>
      <c r="T34" s="6"/>
      <c r="U34" s="37" t="s">
        <v>82</v>
      </c>
      <c r="V34" s="21">
        <f>1-NORMSDIST(ABS(V33))</f>
        <v>1.2579933409417876E-06</v>
      </c>
      <c r="W34" s="39">
        <v>11.9</v>
      </c>
      <c r="X34" s="64" t="s">
        <v>228</v>
      </c>
      <c r="Z34" s="5" t="s">
        <v>78</v>
      </c>
      <c r="AA34" s="6"/>
      <c r="AB34" s="6"/>
      <c r="AC34" s="37" t="s">
        <v>114</v>
      </c>
      <c r="AD34" s="38">
        <f>1-NORMSDIST(ABS(AD33))</f>
        <v>0.008868060012170331</v>
      </c>
      <c r="AE34" s="6">
        <v>12.13</v>
      </c>
      <c r="AF34" s="64" t="s">
        <v>233</v>
      </c>
      <c r="AH34" s="5" t="s">
        <v>151</v>
      </c>
      <c r="AI34" s="6"/>
      <c r="AJ34" s="6"/>
      <c r="AK34" s="6"/>
      <c r="AL34" s="37" t="s">
        <v>29</v>
      </c>
      <c r="AM34" s="6">
        <f>EXP(0.5*LN(AM22/AM23)+1.96*AM32)</f>
        <v>2.299318916410961</v>
      </c>
      <c r="AN34" s="61">
        <v>16.17</v>
      </c>
      <c r="AO34" s="64" t="s">
        <v>241</v>
      </c>
    </row>
    <row r="35" spans="18:41" ht="18" thickBot="1">
      <c r="R35" s="44" t="s">
        <v>79</v>
      </c>
      <c r="S35" s="58"/>
      <c r="T35" s="58"/>
      <c r="U35" s="59" t="s">
        <v>83</v>
      </c>
      <c r="V35" s="45">
        <f>2*(1-NORMSDIST(ABS(V33)))</f>
        <v>2.5159866818835752E-06</v>
      </c>
      <c r="W35" s="67">
        <v>11.1</v>
      </c>
      <c r="X35" s="72" t="s">
        <v>228</v>
      </c>
      <c r="Z35" s="44" t="s">
        <v>79</v>
      </c>
      <c r="AA35" s="58"/>
      <c r="AB35" s="58"/>
      <c r="AC35" s="59" t="s">
        <v>115</v>
      </c>
      <c r="AD35" s="66">
        <f>2*(1-NORMSDIST(ABS(AD33)))</f>
        <v>0.017736120024340662</v>
      </c>
      <c r="AE35" s="58">
        <v>12.14</v>
      </c>
      <c r="AF35" s="72" t="s">
        <v>233</v>
      </c>
      <c r="AH35" s="5" t="s">
        <v>152</v>
      </c>
      <c r="AI35" s="6"/>
      <c r="AJ35" s="6"/>
      <c r="AK35" s="6"/>
      <c r="AL35" s="37" t="s">
        <v>132</v>
      </c>
      <c r="AM35" s="6">
        <f>MAX(((AM23*(AM33^2-1))/AM25),0)</f>
        <v>0</v>
      </c>
      <c r="AN35" s="61">
        <v>16.18</v>
      </c>
      <c r="AO35" s="64" t="s">
        <v>241</v>
      </c>
    </row>
    <row r="36" spans="23:41" ht="16.5">
      <c r="W36" s="30"/>
      <c r="X36" s="73"/>
      <c r="AH36" s="5" t="s">
        <v>153</v>
      </c>
      <c r="AI36" s="6"/>
      <c r="AJ36" s="6"/>
      <c r="AK36" s="6"/>
      <c r="AL36" s="37" t="s">
        <v>133</v>
      </c>
      <c r="AM36" s="6">
        <f>MAX(((AM23*(AM34^2-1))/AM25),0)</f>
        <v>0.6676272046928514</v>
      </c>
      <c r="AN36" s="61">
        <v>16.19</v>
      </c>
      <c r="AO36" s="64" t="s">
        <v>241</v>
      </c>
    </row>
    <row r="37" spans="34:41" ht="13.5">
      <c r="AH37" s="5"/>
      <c r="AI37" s="6"/>
      <c r="AJ37" s="6"/>
      <c r="AK37" s="6"/>
      <c r="AL37" s="37"/>
      <c r="AM37" s="6"/>
      <c r="AN37" s="6"/>
      <c r="AO37" s="7"/>
    </row>
    <row r="38" spans="18:41" ht="13.5">
      <c r="R38" s="108" t="s">
        <v>106</v>
      </c>
      <c r="S38" s="108"/>
      <c r="T38" s="108"/>
      <c r="U38" s="108"/>
      <c r="V38" s="108"/>
      <c r="W38" s="108"/>
      <c r="X38" s="108"/>
      <c r="AH38" s="40" t="s">
        <v>247</v>
      </c>
      <c r="AI38" s="6"/>
      <c r="AJ38" s="6"/>
      <c r="AK38" s="6"/>
      <c r="AL38" s="37"/>
      <c r="AM38" s="6"/>
      <c r="AN38" s="6"/>
      <c r="AO38" s="7"/>
    </row>
    <row r="39" spans="34:41" ht="15" thickBot="1">
      <c r="AH39" s="5" t="s">
        <v>121</v>
      </c>
      <c r="AI39" s="6"/>
      <c r="AJ39" s="6"/>
      <c r="AK39" s="6"/>
      <c r="AL39" s="37" t="s">
        <v>25</v>
      </c>
      <c r="AM39" s="6">
        <f>SQRT(AM29)</f>
        <v>0.41581823846774646</v>
      </c>
      <c r="AN39" s="6">
        <v>16.8</v>
      </c>
      <c r="AO39" s="64" t="s">
        <v>240</v>
      </c>
    </row>
    <row r="40" spans="18:41" ht="15.75">
      <c r="R40" s="68" t="s">
        <v>172</v>
      </c>
      <c r="S40" s="53"/>
      <c r="T40" s="53"/>
      <c r="U40" s="53"/>
      <c r="V40" s="53"/>
      <c r="W40" s="53"/>
      <c r="X40" s="69"/>
      <c r="Z40" s="68"/>
      <c r="AA40" s="53"/>
      <c r="AB40" s="53"/>
      <c r="AC40" s="53"/>
      <c r="AD40" s="53"/>
      <c r="AE40" s="53"/>
      <c r="AF40" s="69"/>
      <c r="AH40" s="5" t="s">
        <v>154</v>
      </c>
      <c r="AI40" s="6"/>
      <c r="AJ40" s="6"/>
      <c r="AK40" s="6"/>
      <c r="AL40" s="37" t="s">
        <v>134</v>
      </c>
      <c r="AM40" s="6">
        <f>SQRT(AM35)</f>
        <v>0</v>
      </c>
      <c r="AN40" s="63" t="s">
        <v>178</v>
      </c>
      <c r="AO40" s="64" t="s">
        <v>241</v>
      </c>
    </row>
    <row r="41" spans="18:44" ht="15.75">
      <c r="R41" s="5" t="s">
        <v>171</v>
      </c>
      <c r="S41" s="6"/>
      <c r="T41" s="6"/>
      <c r="U41" s="6"/>
      <c r="V41" s="6"/>
      <c r="W41" s="6"/>
      <c r="X41" s="7"/>
      <c r="Z41" s="40" t="s">
        <v>80</v>
      </c>
      <c r="AA41" s="6"/>
      <c r="AB41" s="6"/>
      <c r="AC41" s="6"/>
      <c r="AD41" s="6"/>
      <c r="AE41" s="6"/>
      <c r="AF41" s="7"/>
      <c r="AH41" s="5" t="s">
        <v>155</v>
      </c>
      <c r="AI41" s="6"/>
      <c r="AJ41" s="6"/>
      <c r="AK41" s="6"/>
      <c r="AL41" s="37" t="s">
        <v>135</v>
      </c>
      <c r="AM41" s="6">
        <f>SQRT(AM36)</f>
        <v>0.8170845762176957</v>
      </c>
      <c r="AN41" s="63" t="s">
        <v>178</v>
      </c>
      <c r="AO41" s="64" t="s">
        <v>241</v>
      </c>
      <c r="AR41" s="1"/>
    </row>
    <row r="42" spans="18:44" ht="13.5">
      <c r="R42" s="5" t="s">
        <v>170</v>
      </c>
      <c r="S42" s="6"/>
      <c r="T42" s="6"/>
      <c r="U42" s="6"/>
      <c r="V42" s="6"/>
      <c r="W42" s="6"/>
      <c r="X42" s="7"/>
      <c r="Z42" s="94" t="s">
        <v>87</v>
      </c>
      <c r="AA42" s="95"/>
      <c r="AB42" s="95"/>
      <c r="AC42" s="95"/>
      <c r="AD42" s="95"/>
      <c r="AE42" s="95"/>
      <c r="AF42" s="7"/>
      <c r="AH42" s="5"/>
      <c r="AI42" s="6"/>
      <c r="AJ42" s="6"/>
      <c r="AK42" s="6"/>
      <c r="AL42" s="37"/>
      <c r="AM42" s="6"/>
      <c r="AN42" s="6"/>
      <c r="AO42" s="7"/>
      <c r="AR42" s="1"/>
    </row>
    <row r="43" spans="18:44" ht="15.75">
      <c r="R43" s="5"/>
      <c r="S43" s="6"/>
      <c r="T43" s="6"/>
      <c r="U43" s="6"/>
      <c r="V43" s="6"/>
      <c r="W43" s="6" t="s">
        <v>81</v>
      </c>
      <c r="X43" s="7" t="s">
        <v>176</v>
      </c>
      <c r="Z43" s="94"/>
      <c r="AA43" s="95"/>
      <c r="AB43" s="95"/>
      <c r="AC43" s="95"/>
      <c r="AD43" s="95"/>
      <c r="AE43" s="95"/>
      <c r="AF43" s="7"/>
      <c r="AH43" s="40" t="s">
        <v>156</v>
      </c>
      <c r="AI43" s="6"/>
      <c r="AJ43" s="6"/>
      <c r="AK43" s="6"/>
      <c r="AL43" s="37"/>
      <c r="AM43" s="6"/>
      <c r="AN43" s="6"/>
      <c r="AO43" s="7"/>
      <c r="AR43" s="1"/>
    </row>
    <row r="44" spans="18:41" ht="15.75">
      <c r="R44" s="40" t="s">
        <v>80</v>
      </c>
      <c r="S44" s="6"/>
      <c r="T44" s="6"/>
      <c r="U44" s="6"/>
      <c r="V44" s="6"/>
      <c r="W44" s="41"/>
      <c r="X44" s="42"/>
      <c r="Z44" s="5"/>
      <c r="AA44" s="6"/>
      <c r="AB44" s="6"/>
      <c r="AC44" s="6"/>
      <c r="AD44" s="6"/>
      <c r="AE44" s="6"/>
      <c r="AF44" s="7"/>
      <c r="AH44" s="56" t="s">
        <v>157</v>
      </c>
      <c r="AI44" s="6"/>
      <c r="AJ44" s="6"/>
      <c r="AK44" s="6"/>
      <c r="AL44" s="37" t="s">
        <v>136</v>
      </c>
      <c r="AM44" s="57">
        <f>((AM22-AM23)/AM22)</f>
        <v>0.5261180883629984</v>
      </c>
      <c r="AN44" s="6">
        <v>16.9</v>
      </c>
      <c r="AO44" s="64" t="s">
        <v>240</v>
      </c>
    </row>
    <row r="45" spans="18:41" ht="16.5">
      <c r="R45" s="96" t="s">
        <v>66</v>
      </c>
      <c r="S45" s="97"/>
      <c r="T45" s="6"/>
      <c r="U45" s="37" t="s">
        <v>21</v>
      </c>
      <c r="V45" s="38">
        <f>W15-(V15^2/U15)</f>
        <v>10.551151831745905</v>
      </c>
      <c r="W45" s="41">
        <v>12.3</v>
      </c>
      <c r="X45" s="64" t="s">
        <v>229</v>
      </c>
      <c r="Z45" s="5"/>
      <c r="AA45" s="6"/>
      <c r="AB45" s="6"/>
      <c r="AC45" s="6"/>
      <c r="AD45" s="6"/>
      <c r="AE45" s="6"/>
      <c r="AF45" s="7"/>
      <c r="AH45" s="5" t="s">
        <v>158</v>
      </c>
      <c r="AI45" s="6"/>
      <c r="AJ45" s="6"/>
      <c r="AK45" s="6"/>
      <c r="AL45" s="37" t="s">
        <v>137</v>
      </c>
      <c r="AM45" s="57">
        <f>MAX(((AM33^2-1)/AM33^2),0)</f>
        <v>0</v>
      </c>
      <c r="AN45" s="6">
        <v>16.24</v>
      </c>
      <c r="AO45" s="64" t="s">
        <v>241</v>
      </c>
    </row>
    <row r="46" spans="18:41" ht="16.5">
      <c r="R46" s="96" t="s">
        <v>67</v>
      </c>
      <c r="S46" s="97"/>
      <c r="T46" s="6"/>
      <c r="U46" s="37" t="s">
        <v>22</v>
      </c>
      <c r="V46" s="38">
        <f>COUNT(S8:S13)-1</f>
        <v>5</v>
      </c>
      <c r="W46" s="41">
        <v>12.4</v>
      </c>
      <c r="X46" s="64" t="s">
        <v>229</v>
      </c>
      <c r="Z46" s="5"/>
      <c r="AA46" s="6"/>
      <c r="AB46" s="6"/>
      <c r="AC46" s="6"/>
      <c r="AD46" s="6"/>
      <c r="AE46" s="6"/>
      <c r="AF46" s="7"/>
      <c r="AH46" s="5" t="s">
        <v>159</v>
      </c>
      <c r="AI46" s="6"/>
      <c r="AJ46" s="6"/>
      <c r="AK46" s="6"/>
      <c r="AL46" s="37" t="s">
        <v>138</v>
      </c>
      <c r="AM46" s="57">
        <f>MAX(((AM34^2-1)/AM34^2),0)</f>
        <v>0.8108520775481861</v>
      </c>
      <c r="AN46" s="6">
        <v>16.25</v>
      </c>
      <c r="AO46" s="64" t="s">
        <v>241</v>
      </c>
    </row>
    <row r="47" spans="18:44" ht="13.5">
      <c r="R47" s="96" t="s">
        <v>23</v>
      </c>
      <c r="S47" s="97"/>
      <c r="T47" s="6"/>
      <c r="U47" s="37" t="s">
        <v>23</v>
      </c>
      <c r="V47" s="38">
        <f>U15-(X15/U15)</f>
        <v>32.10524862702002</v>
      </c>
      <c r="W47" s="41">
        <v>12.5</v>
      </c>
      <c r="X47" s="64" t="s">
        <v>229</v>
      </c>
      <c r="Z47" s="5"/>
      <c r="AA47" s="6"/>
      <c r="AB47" s="6"/>
      <c r="AC47" s="6"/>
      <c r="AD47" s="6"/>
      <c r="AE47" s="6"/>
      <c r="AF47" s="7"/>
      <c r="AH47" s="5"/>
      <c r="AI47" s="6"/>
      <c r="AJ47" s="6"/>
      <c r="AK47" s="6"/>
      <c r="AL47" s="37"/>
      <c r="AM47" s="6"/>
      <c r="AN47" s="6"/>
      <c r="AO47" s="7"/>
      <c r="AR47" s="74"/>
    </row>
    <row r="48" spans="18:44" ht="16.5" thickBot="1">
      <c r="R48" s="104" t="s">
        <v>125</v>
      </c>
      <c r="S48" s="105"/>
      <c r="T48" s="58"/>
      <c r="U48" s="59" t="s">
        <v>72</v>
      </c>
      <c r="V48" s="66">
        <f>MAX(((V45-V46)/V47),0)</f>
        <v>0.17290480744241968</v>
      </c>
      <c r="W48" s="70">
        <v>12.2</v>
      </c>
      <c r="X48" s="72" t="s">
        <v>229</v>
      </c>
      <c r="Z48" s="44"/>
      <c r="AA48" s="58"/>
      <c r="AB48" s="58"/>
      <c r="AC48" s="58"/>
      <c r="AD48" s="58"/>
      <c r="AE48" s="58"/>
      <c r="AF48" s="60"/>
      <c r="AH48" s="40" t="s">
        <v>248</v>
      </c>
      <c r="AI48" s="6"/>
      <c r="AJ48" s="6"/>
      <c r="AK48" s="6"/>
      <c r="AL48" s="37"/>
      <c r="AM48" s="6"/>
      <c r="AN48" s="6"/>
      <c r="AO48" s="7"/>
      <c r="AR48" s="74"/>
    </row>
    <row r="49" spans="34:44" ht="15.75">
      <c r="AH49" s="5" t="s">
        <v>118</v>
      </c>
      <c r="AI49" s="6"/>
      <c r="AJ49" s="6"/>
      <c r="AK49" s="6"/>
      <c r="AL49" s="37" t="s">
        <v>162</v>
      </c>
      <c r="AM49" s="6">
        <f>COUNT(AR8:AR13)-2</f>
        <v>4</v>
      </c>
      <c r="AN49" s="63" t="s">
        <v>180</v>
      </c>
      <c r="AO49" s="64" t="s">
        <v>242</v>
      </c>
      <c r="AR49" s="74"/>
    </row>
    <row r="50" spans="18:41" ht="15.75">
      <c r="R50" t="s">
        <v>243</v>
      </c>
      <c r="Z50" t="s">
        <v>243</v>
      </c>
      <c r="AH50" s="5" t="s">
        <v>160</v>
      </c>
      <c r="AI50" s="6"/>
      <c r="AJ50" s="6"/>
      <c r="AK50" s="6"/>
      <c r="AL50" s="37" t="s">
        <v>139</v>
      </c>
      <c r="AM50" s="6">
        <f>TINV(0.05,AM49)</f>
        <v>2.7764451051977934</v>
      </c>
      <c r="AN50" s="63" t="s">
        <v>179</v>
      </c>
      <c r="AO50" s="64" t="s">
        <v>242</v>
      </c>
    </row>
    <row r="51" spans="34:41" ht="13.5">
      <c r="AH51" s="5" t="s">
        <v>124</v>
      </c>
      <c r="AI51" s="6"/>
      <c r="AJ51" s="6"/>
      <c r="AK51" s="6"/>
      <c r="AL51" s="37" t="s">
        <v>30</v>
      </c>
      <c r="AM51" s="6">
        <f>AD24</f>
        <v>-0.5662959011960007</v>
      </c>
      <c r="AN51" s="6">
        <v>12.7</v>
      </c>
      <c r="AO51" s="64" t="str">
        <f>AF24</f>
        <v>p. 96</v>
      </c>
    </row>
    <row r="52" spans="34:41" ht="15.75">
      <c r="AH52" s="5" t="s">
        <v>125</v>
      </c>
      <c r="AI52" s="6"/>
      <c r="AJ52" s="6"/>
      <c r="AK52" s="6"/>
      <c r="AL52" s="37" t="s">
        <v>129</v>
      </c>
      <c r="AM52" s="6">
        <f>AM29</f>
        <v>0.17290480744241968</v>
      </c>
      <c r="AN52" s="6">
        <v>16.5</v>
      </c>
      <c r="AO52" s="64" t="s">
        <v>242</v>
      </c>
    </row>
    <row r="53" spans="34:41" ht="15.75">
      <c r="AH53" s="5" t="s">
        <v>161</v>
      </c>
      <c r="AI53" s="6"/>
      <c r="AJ53" s="6"/>
      <c r="AK53" s="6"/>
      <c r="AL53" s="37" t="s">
        <v>140</v>
      </c>
      <c r="AM53" s="6">
        <f>AD25</f>
        <v>0.05704188582437252</v>
      </c>
      <c r="AN53" s="6">
        <v>12.8</v>
      </c>
      <c r="AO53" s="64" t="str">
        <f>AF25</f>
        <v>p. 97</v>
      </c>
    </row>
    <row r="54" spans="34:41" ht="15.75">
      <c r="AH54" s="5" t="s">
        <v>126</v>
      </c>
      <c r="AI54" s="6"/>
      <c r="AJ54" s="6"/>
      <c r="AK54" s="6"/>
      <c r="AL54" s="37" t="s">
        <v>141</v>
      </c>
      <c r="AM54" s="6">
        <f>AM51-AM50*SQRT(AM52+AM53)</f>
        <v>-1.897677884057844</v>
      </c>
      <c r="AN54" s="6">
        <v>17.7</v>
      </c>
      <c r="AO54" s="64" t="s">
        <v>242</v>
      </c>
    </row>
    <row r="55" spans="34:41" ht="16.5" thickBot="1">
      <c r="AH55" s="44" t="s">
        <v>127</v>
      </c>
      <c r="AI55" s="58"/>
      <c r="AJ55" s="58"/>
      <c r="AK55" s="58"/>
      <c r="AL55" s="59" t="s">
        <v>142</v>
      </c>
      <c r="AM55" s="58">
        <f>AM51+AM50*SQRT(AM52+AM53)</f>
        <v>0.7650860816658427</v>
      </c>
      <c r="AN55" s="58">
        <v>17.8</v>
      </c>
      <c r="AO55" s="72" t="s">
        <v>242</v>
      </c>
    </row>
    <row r="58" ht="15" thickBot="1"/>
    <row r="59" spans="18:41" ht="13.5">
      <c r="R59" s="68" t="s">
        <v>190</v>
      </c>
      <c r="S59" s="53"/>
      <c r="T59" s="53"/>
      <c r="U59" s="53"/>
      <c r="V59" s="53"/>
      <c r="W59" s="53"/>
      <c r="X59" s="69"/>
      <c r="Z59" s="71" t="s">
        <v>191</v>
      </c>
      <c r="AA59" s="53"/>
      <c r="AB59" s="53"/>
      <c r="AC59" s="53"/>
      <c r="AD59" s="53"/>
      <c r="AE59" s="53"/>
      <c r="AF59" s="69"/>
      <c r="AH59" s="71" t="s">
        <v>191</v>
      </c>
      <c r="AI59" s="53"/>
      <c r="AJ59" s="53"/>
      <c r="AK59" s="53"/>
      <c r="AL59" s="53"/>
      <c r="AM59" s="53"/>
      <c r="AN59" s="53"/>
      <c r="AO59" s="69"/>
    </row>
    <row r="60" spans="18:41" ht="13.5">
      <c r="R60" s="5"/>
      <c r="S60" s="6"/>
      <c r="T60" s="6"/>
      <c r="U60" s="6"/>
      <c r="V60" s="6"/>
      <c r="W60" s="36" t="s">
        <v>81</v>
      </c>
      <c r="X60" s="65" t="s">
        <v>176</v>
      </c>
      <c r="Z60" s="5"/>
      <c r="AA60" s="6"/>
      <c r="AB60" s="6"/>
      <c r="AC60" s="6"/>
      <c r="AD60" s="6"/>
      <c r="AE60" s="36" t="s">
        <v>81</v>
      </c>
      <c r="AF60" s="65" t="s">
        <v>176</v>
      </c>
      <c r="AH60" s="5"/>
      <c r="AI60" s="6"/>
      <c r="AJ60" s="6"/>
      <c r="AK60" s="6"/>
      <c r="AL60" s="6"/>
      <c r="AM60" s="36" t="s">
        <v>81</v>
      </c>
      <c r="AN60" s="36" t="s">
        <v>176</v>
      </c>
      <c r="AO60" s="7"/>
    </row>
    <row r="61" spans="18:41" ht="13.5">
      <c r="R61" s="40" t="s">
        <v>75</v>
      </c>
      <c r="S61" s="6"/>
      <c r="T61" s="6"/>
      <c r="U61" s="6"/>
      <c r="V61" s="6"/>
      <c r="W61" s="6"/>
      <c r="X61" s="7"/>
      <c r="Z61" s="40" t="s">
        <v>75</v>
      </c>
      <c r="AA61" s="6"/>
      <c r="AB61" s="6"/>
      <c r="AC61" s="6"/>
      <c r="AD61" s="6"/>
      <c r="AE61" s="6"/>
      <c r="AF61" s="7"/>
      <c r="AH61" s="40" t="s">
        <v>75</v>
      </c>
      <c r="AI61" s="6"/>
      <c r="AJ61" s="6"/>
      <c r="AK61" s="6"/>
      <c r="AL61" s="6"/>
      <c r="AM61" s="6"/>
      <c r="AN61" s="6"/>
      <c r="AO61" s="7"/>
    </row>
    <row r="62" spans="18:41" ht="13.5">
      <c r="R62" s="96" t="s">
        <v>60</v>
      </c>
      <c r="S62" s="97"/>
      <c r="T62" s="6"/>
      <c r="U62" s="37" t="s">
        <v>19</v>
      </c>
      <c r="V62" s="38">
        <f>EXP(V24)</f>
        <v>0.4847383162652483</v>
      </c>
      <c r="W62" s="63" t="s">
        <v>228</v>
      </c>
      <c r="X62" s="64" t="s">
        <v>228</v>
      </c>
      <c r="Z62" s="96" t="s">
        <v>60</v>
      </c>
      <c r="AA62" s="97"/>
      <c r="AB62" s="6"/>
      <c r="AC62" s="37" t="s">
        <v>19</v>
      </c>
      <c r="AD62" s="38">
        <f>EXP(AD24)</f>
        <v>0.5676240851981351</v>
      </c>
      <c r="AE62" s="63" t="s">
        <v>233</v>
      </c>
      <c r="AF62" s="64" t="s">
        <v>233</v>
      </c>
      <c r="AH62" s="96" t="s">
        <v>60</v>
      </c>
      <c r="AI62" s="97"/>
      <c r="AJ62" s="6"/>
      <c r="AK62" s="37" t="s">
        <v>19</v>
      </c>
      <c r="AL62" s="38">
        <f>EXP(AM51)</f>
        <v>0.5676240851981351</v>
      </c>
      <c r="AM62" s="6"/>
      <c r="AN62" s="63"/>
      <c r="AO62" s="7"/>
    </row>
    <row r="63" spans="18:41" ht="13.5">
      <c r="R63" s="5"/>
      <c r="S63" s="6"/>
      <c r="T63" s="6"/>
      <c r="U63" s="6"/>
      <c r="V63" s="6"/>
      <c r="W63" s="63"/>
      <c r="X63" s="64"/>
      <c r="Z63" s="5"/>
      <c r="AA63" s="6"/>
      <c r="AB63" s="6"/>
      <c r="AC63" s="6"/>
      <c r="AD63" s="6"/>
      <c r="AE63" s="63"/>
      <c r="AF63" s="64"/>
      <c r="AH63" s="5"/>
      <c r="AI63" s="6"/>
      <c r="AJ63" s="6"/>
      <c r="AK63" s="6"/>
      <c r="AL63" s="6"/>
      <c r="AM63" s="6"/>
      <c r="AN63" s="63"/>
      <c r="AO63" s="7"/>
    </row>
    <row r="64" spans="18:41" ht="13.5">
      <c r="R64" s="40" t="s">
        <v>76</v>
      </c>
      <c r="S64" s="6"/>
      <c r="T64" s="6"/>
      <c r="U64" s="6"/>
      <c r="V64" s="6"/>
      <c r="W64" s="63"/>
      <c r="X64" s="64"/>
      <c r="Z64" s="40" t="s">
        <v>76</v>
      </c>
      <c r="AA64" s="6"/>
      <c r="AB64" s="6"/>
      <c r="AC64" s="6"/>
      <c r="AD64" s="6"/>
      <c r="AE64" s="63"/>
      <c r="AF64" s="64"/>
      <c r="AH64" s="40" t="s">
        <v>123</v>
      </c>
      <c r="AI64" s="6"/>
      <c r="AJ64" s="6"/>
      <c r="AK64" s="6"/>
      <c r="AL64" s="6"/>
      <c r="AM64" s="6"/>
      <c r="AN64" s="63"/>
      <c r="AO64" s="7"/>
    </row>
    <row r="65" spans="18:41" ht="15.75">
      <c r="R65" s="96" t="s">
        <v>63</v>
      </c>
      <c r="S65" s="97"/>
      <c r="T65" s="6"/>
      <c r="U65" s="37" t="s">
        <v>70</v>
      </c>
      <c r="V65" s="38">
        <f>EXP(V29)</f>
        <v>0.35854818686979306</v>
      </c>
      <c r="W65" s="63" t="s">
        <v>228</v>
      </c>
      <c r="X65" s="64" t="s">
        <v>228</v>
      </c>
      <c r="Z65" s="96" t="s">
        <v>63</v>
      </c>
      <c r="AA65" s="97"/>
      <c r="AB65" s="6"/>
      <c r="AC65" s="37" t="s">
        <v>70</v>
      </c>
      <c r="AD65" s="38">
        <f>EXP(AD29)</f>
        <v>0.3554355331370824</v>
      </c>
      <c r="AE65" s="63" t="s">
        <v>233</v>
      </c>
      <c r="AF65" s="64" t="s">
        <v>233</v>
      </c>
      <c r="AH65" s="96" t="s">
        <v>63</v>
      </c>
      <c r="AI65" s="97"/>
      <c r="AJ65" s="6"/>
      <c r="AK65" s="37" t="s">
        <v>70</v>
      </c>
      <c r="AL65" s="38">
        <f>EXP(AM54)</f>
        <v>0.14991633846372646</v>
      </c>
      <c r="AM65" s="63" t="s">
        <v>242</v>
      </c>
      <c r="AN65" s="63" t="s">
        <v>242</v>
      </c>
      <c r="AO65" s="7"/>
    </row>
    <row r="66" spans="18:41" ht="16.5" thickBot="1">
      <c r="R66" s="104" t="s">
        <v>64</v>
      </c>
      <c r="S66" s="105"/>
      <c r="T66" s="58"/>
      <c r="U66" s="59" t="s">
        <v>71</v>
      </c>
      <c r="V66" s="66">
        <f>EXP(V30)</f>
        <v>0.6553407431983411</v>
      </c>
      <c r="W66" s="79" t="s">
        <v>229</v>
      </c>
      <c r="X66" s="72" t="s">
        <v>229</v>
      </c>
      <c r="Z66" s="104" t="s">
        <v>64</v>
      </c>
      <c r="AA66" s="105"/>
      <c r="AB66" s="58"/>
      <c r="AC66" s="59" t="s">
        <v>71</v>
      </c>
      <c r="AD66" s="66">
        <f>EXP(AD30)</f>
        <v>0.9064853456076846</v>
      </c>
      <c r="AE66" s="79" t="s">
        <v>233</v>
      </c>
      <c r="AF66" s="72" t="s">
        <v>233</v>
      </c>
      <c r="AH66" s="104" t="s">
        <v>64</v>
      </c>
      <c r="AI66" s="105"/>
      <c r="AJ66" s="58"/>
      <c r="AK66" s="59" t="s">
        <v>71</v>
      </c>
      <c r="AL66" s="66">
        <f>EXP(AM55)</f>
        <v>2.149179371633187</v>
      </c>
      <c r="AM66" s="79" t="s">
        <v>242</v>
      </c>
      <c r="AN66" s="79" t="s">
        <v>242</v>
      </c>
      <c r="AO66" s="60"/>
    </row>
  </sheetData>
  <sheetProtection/>
  <mergeCells count="49">
    <mergeCell ref="R1:X1"/>
    <mergeCell ref="Z1:AF1"/>
    <mergeCell ref="B3:H3"/>
    <mergeCell ref="C5:E5"/>
    <mergeCell ref="F5:H5"/>
    <mergeCell ref="B1:H1"/>
    <mergeCell ref="J1:L1"/>
    <mergeCell ref="J3:L3"/>
    <mergeCell ref="R3:X3"/>
    <mergeCell ref="V5:X5"/>
    <mergeCell ref="R17:X17"/>
    <mergeCell ref="R18:X18"/>
    <mergeCell ref="R19:X19"/>
    <mergeCell ref="R24:S24"/>
    <mergeCell ref="R25:S25"/>
    <mergeCell ref="R26:S26"/>
    <mergeCell ref="R29:S29"/>
    <mergeCell ref="R30:S30"/>
    <mergeCell ref="R33:S33"/>
    <mergeCell ref="R38:X38"/>
    <mergeCell ref="R45:S45"/>
    <mergeCell ref="R46:S46"/>
    <mergeCell ref="R47:S47"/>
    <mergeCell ref="R48:S48"/>
    <mergeCell ref="R62:S62"/>
    <mergeCell ref="Z30:AA30"/>
    <mergeCell ref="Z33:AA33"/>
    <mergeCell ref="Z42:AE43"/>
    <mergeCell ref="Z62:AA62"/>
    <mergeCell ref="R65:S65"/>
    <mergeCell ref="R66:S66"/>
    <mergeCell ref="Z3:AF3"/>
    <mergeCell ref="Z17:AF17"/>
    <mergeCell ref="Z18:AF18"/>
    <mergeCell ref="Z19:AF19"/>
    <mergeCell ref="Z24:AA24"/>
    <mergeCell ref="Z25:AA25"/>
    <mergeCell ref="Z26:AA26"/>
    <mergeCell ref="Z29:AA29"/>
    <mergeCell ref="AQ1:AW1"/>
    <mergeCell ref="AQ3:AW3"/>
    <mergeCell ref="Z65:AA65"/>
    <mergeCell ref="Z66:AA66"/>
    <mergeCell ref="AH1:AO1"/>
    <mergeCell ref="AH3:AO3"/>
    <mergeCell ref="AH17:AO17"/>
    <mergeCell ref="AH62:AI62"/>
    <mergeCell ref="AH65:AI65"/>
    <mergeCell ref="AH66:AI66"/>
  </mergeCell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1:AZ66"/>
  <sheetViews>
    <sheetView workbookViewId="0" topLeftCell="A1">
      <selection activeCell="A1" sqref="A1"/>
    </sheetView>
  </sheetViews>
  <sheetFormatPr defaultColWidth="8.8515625" defaultRowHeight="15"/>
  <cols>
    <col min="1" max="2" width="8.8515625" style="0" customWidth="1"/>
    <col min="3" max="3" width="11.7109375" style="0" customWidth="1"/>
    <col min="4" max="18" width="8.8515625" style="0" customWidth="1"/>
    <col min="19" max="19" width="9.28125" style="0" bestFit="1" customWidth="1"/>
    <col min="20" max="20" width="12.7109375" style="0" bestFit="1" customWidth="1"/>
    <col min="21" max="23" width="9.421875" style="0" bestFit="1" customWidth="1"/>
    <col min="24" max="24" width="12.421875" style="0" bestFit="1" customWidth="1"/>
    <col min="25" max="27" width="8.8515625" style="0" customWidth="1"/>
    <col min="28" max="28" width="13.8515625" style="0" customWidth="1"/>
    <col min="29" max="29" width="8.8515625" style="0" customWidth="1"/>
    <col min="30" max="30" width="13.140625" style="0" bestFit="1" customWidth="1"/>
    <col min="31" max="31" width="9.28125" style="0" bestFit="1" customWidth="1"/>
    <col min="32" max="32" width="10.421875" style="0" customWidth="1"/>
    <col min="33" max="34" width="8.8515625" style="0" customWidth="1"/>
    <col min="35" max="35" width="9.421875" style="0" bestFit="1" customWidth="1"/>
    <col min="36" max="36" width="10.8515625" style="0" customWidth="1"/>
    <col min="37" max="39" width="9.421875" style="0" bestFit="1" customWidth="1"/>
    <col min="40" max="40" width="12.421875" style="0" bestFit="1" customWidth="1"/>
    <col min="41" max="41" width="14.7109375" style="0" bestFit="1" customWidth="1"/>
    <col min="42" max="43" width="8.8515625" style="0" customWidth="1"/>
    <col min="44" max="44" width="9.28125" style="0" bestFit="1" customWidth="1"/>
    <col min="45" max="45" width="13.140625" style="0" customWidth="1"/>
    <col min="46" max="46" width="9.421875" style="0" bestFit="1" customWidth="1"/>
    <col min="47" max="49" width="9.28125" style="0" bestFit="1" customWidth="1"/>
  </cols>
  <sheetData>
    <row r="1" spans="2:49" ht="13.5">
      <c r="B1" s="91" t="s">
        <v>102</v>
      </c>
      <c r="C1" s="91"/>
      <c r="D1" s="91"/>
      <c r="E1" s="91"/>
      <c r="F1" s="91"/>
      <c r="G1" s="91"/>
      <c r="H1" s="91"/>
      <c r="J1" s="93" t="s">
        <v>103</v>
      </c>
      <c r="K1" s="93"/>
      <c r="L1" s="93"/>
      <c r="R1" s="91" t="s">
        <v>104</v>
      </c>
      <c r="S1" s="91"/>
      <c r="T1" s="91"/>
      <c r="U1" s="91"/>
      <c r="V1" s="91"/>
      <c r="W1" s="91"/>
      <c r="X1" s="91"/>
      <c r="Z1" s="91" t="s">
        <v>143</v>
      </c>
      <c r="AA1" s="91"/>
      <c r="AB1" s="91"/>
      <c r="AC1" s="91"/>
      <c r="AD1" s="91"/>
      <c r="AE1" s="91"/>
      <c r="AF1" s="91"/>
      <c r="AH1" s="91" t="s">
        <v>144</v>
      </c>
      <c r="AI1" s="91"/>
      <c r="AJ1" s="91"/>
      <c r="AK1" s="91"/>
      <c r="AL1" s="91"/>
      <c r="AM1" s="91"/>
      <c r="AN1" s="91"/>
      <c r="AO1" s="91"/>
      <c r="AQ1" s="89" t="s">
        <v>164</v>
      </c>
      <c r="AR1" s="89"/>
      <c r="AS1" s="89"/>
      <c r="AT1" s="89"/>
      <c r="AU1" s="89"/>
      <c r="AV1" s="89"/>
      <c r="AW1" s="89"/>
    </row>
    <row r="3" spans="2:49" ht="16.5" thickBot="1">
      <c r="B3" s="93" t="s">
        <v>234</v>
      </c>
      <c r="C3" s="93"/>
      <c r="D3" s="93"/>
      <c r="E3" s="93"/>
      <c r="F3" s="93"/>
      <c r="G3" s="93"/>
      <c r="H3" s="93"/>
      <c r="J3" s="107" t="s">
        <v>245</v>
      </c>
      <c r="K3" s="107"/>
      <c r="L3" s="107"/>
      <c r="R3" s="92" t="s">
        <v>235</v>
      </c>
      <c r="S3" s="92"/>
      <c r="T3" s="92"/>
      <c r="U3" s="92"/>
      <c r="V3" s="92"/>
      <c r="W3" s="92"/>
      <c r="X3" s="92"/>
      <c r="Z3" s="93" t="s">
        <v>236</v>
      </c>
      <c r="AA3" s="93"/>
      <c r="AB3" s="93"/>
      <c r="AC3" s="93"/>
      <c r="AD3" s="93"/>
      <c r="AE3" s="93"/>
      <c r="AF3" s="93"/>
      <c r="AH3" s="93" t="s">
        <v>165</v>
      </c>
      <c r="AI3" s="93"/>
      <c r="AJ3" s="93"/>
      <c r="AK3" s="93"/>
      <c r="AL3" s="93"/>
      <c r="AM3" s="93"/>
      <c r="AN3" s="93"/>
      <c r="AO3" s="93"/>
      <c r="AQ3" s="93" t="s">
        <v>175</v>
      </c>
      <c r="AR3" s="93"/>
      <c r="AS3" s="93"/>
      <c r="AT3" s="93"/>
      <c r="AU3" s="93"/>
      <c r="AV3" s="93"/>
      <c r="AW3" s="93"/>
    </row>
    <row r="4" spans="2:49" ht="17.25" customHeight="1">
      <c r="B4" s="68"/>
      <c r="C4" s="53"/>
      <c r="D4" s="53"/>
      <c r="E4" s="53"/>
      <c r="F4" s="53"/>
      <c r="G4" s="53"/>
      <c r="H4" s="69"/>
      <c r="J4" s="68"/>
      <c r="K4" s="53"/>
      <c r="L4" s="69"/>
      <c r="R4" s="68"/>
      <c r="S4" s="53"/>
      <c r="T4" s="53"/>
      <c r="U4" s="53"/>
      <c r="V4" s="53"/>
      <c r="W4" s="53"/>
      <c r="X4" s="69"/>
      <c r="Z4" s="68"/>
      <c r="AA4" s="53"/>
      <c r="AB4" s="53"/>
      <c r="AC4" s="53"/>
      <c r="AD4" s="53"/>
      <c r="AE4" s="53"/>
      <c r="AF4" s="69"/>
      <c r="AH4" s="68"/>
      <c r="AI4" s="53"/>
      <c r="AJ4" s="53"/>
      <c r="AK4" s="53"/>
      <c r="AL4" s="53"/>
      <c r="AM4" s="53"/>
      <c r="AN4" s="53"/>
      <c r="AO4" s="69"/>
      <c r="AQ4" s="68"/>
      <c r="AR4" s="53"/>
      <c r="AS4" s="53"/>
      <c r="AT4" s="53"/>
      <c r="AU4" s="53"/>
      <c r="AV4" s="53"/>
      <c r="AW4" s="69"/>
    </row>
    <row r="5" spans="2:49" ht="33" customHeight="1">
      <c r="B5" s="5"/>
      <c r="C5" s="6"/>
      <c r="D5" s="6"/>
      <c r="E5" s="6"/>
      <c r="F5" s="6"/>
      <c r="G5" s="6"/>
      <c r="H5" s="7"/>
      <c r="J5" s="5"/>
      <c r="K5" s="6"/>
      <c r="L5" s="7"/>
      <c r="R5" s="34"/>
      <c r="S5" s="35" t="s">
        <v>56</v>
      </c>
      <c r="T5" s="35" t="s">
        <v>57</v>
      </c>
      <c r="U5" s="35" t="s">
        <v>58</v>
      </c>
      <c r="V5" s="98" t="s">
        <v>59</v>
      </c>
      <c r="W5" s="98"/>
      <c r="X5" s="99"/>
      <c r="Z5" s="5"/>
      <c r="AA5" s="32" t="s">
        <v>56</v>
      </c>
      <c r="AB5" s="32" t="s">
        <v>85</v>
      </c>
      <c r="AC5" s="32" t="s">
        <v>84</v>
      </c>
      <c r="AD5" s="32" t="s">
        <v>86</v>
      </c>
      <c r="AE5" s="32" t="s">
        <v>58</v>
      </c>
      <c r="AF5" s="33" t="s">
        <v>59</v>
      </c>
      <c r="AH5" s="5"/>
      <c r="AI5" s="6"/>
      <c r="AJ5" s="6"/>
      <c r="AK5" s="6"/>
      <c r="AL5" s="6"/>
      <c r="AM5" s="6"/>
      <c r="AN5" s="6"/>
      <c r="AO5" s="7"/>
      <c r="AQ5" s="5"/>
      <c r="AR5" s="6"/>
      <c r="AS5" s="6"/>
      <c r="AT5" s="6"/>
      <c r="AU5" s="6"/>
      <c r="AV5" s="6"/>
      <c r="AW5" s="7"/>
    </row>
    <row r="6" spans="2:49" ht="16.5">
      <c r="B6" s="5"/>
      <c r="C6" s="85" t="s">
        <v>244</v>
      </c>
      <c r="D6" s="28" t="s">
        <v>4</v>
      </c>
      <c r="E6" s="28" t="s">
        <v>20</v>
      </c>
      <c r="F6" s="28" t="s">
        <v>48</v>
      </c>
      <c r="G6" s="6"/>
      <c r="H6" s="7"/>
      <c r="J6" s="87" t="s">
        <v>20</v>
      </c>
      <c r="K6" s="28" t="s">
        <v>47</v>
      </c>
      <c r="L6" s="7"/>
      <c r="R6" s="5"/>
      <c r="S6" s="28" t="s">
        <v>16</v>
      </c>
      <c r="T6" s="28" t="s">
        <v>73</v>
      </c>
      <c r="U6" s="28" t="s">
        <v>17</v>
      </c>
      <c r="V6" s="28" t="s">
        <v>18</v>
      </c>
      <c r="W6" s="28" t="s">
        <v>54</v>
      </c>
      <c r="X6" s="29" t="s">
        <v>55</v>
      </c>
      <c r="Z6" s="5">
        <f>R6</f>
        <v>0</v>
      </c>
      <c r="AA6" s="28" t="s">
        <v>16</v>
      </c>
      <c r="AB6" s="28" t="s">
        <v>73</v>
      </c>
      <c r="AC6" s="28" t="s">
        <v>72</v>
      </c>
      <c r="AD6" s="28" t="s">
        <v>74</v>
      </c>
      <c r="AE6" s="28" t="s">
        <v>107</v>
      </c>
      <c r="AF6" s="29" t="s">
        <v>108</v>
      </c>
      <c r="AH6" s="5" t="s">
        <v>0</v>
      </c>
      <c r="AI6" s="28" t="s">
        <v>16</v>
      </c>
      <c r="AJ6" s="28" t="s">
        <v>96</v>
      </c>
      <c r="AK6" s="28" t="s">
        <v>17</v>
      </c>
      <c r="AL6" s="28" t="s">
        <v>18</v>
      </c>
      <c r="AM6" s="28" t="s">
        <v>97</v>
      </c>
      <c r="AN6" s="28" t="s">
        <v>98</v>
      </c>
      <c r="AO6" s="29" t="s">
        <v>99</v>
      </c>
      <c r="AQ6" s="5" t="s">
        <v>0</v>
      </c>
      <c r="AR6" s="28" t="s">
        <v>16</v>
      </c>
      <c r="AS6" s="28" t="s">
        <v>96</v>
      </c>
      <c r="AT6" s="28" t="s">
        <v>17</v>
      </c>
      <c r="AU6" s="28" t="s">
        <v>19</v>
      </c>
      <c r="AV6" s="28" t="s">
        <v>100</v>
      </c>
      <c r="AW6" s="29" t="s">
        <v>101</v>
      </c>
    </row>
    <row r="7" spans="2:49" ht="13.5">
      <c r="B7" s="5"/>
      <c r="C7" s="6"/>
      <c r="D7" s="6"/>
      <c r="E7" s="6"/>
      <c r="F7" s="6"/>
      <c r="G7" s="6"/>
      <c r="H7" s="7"/>
      <c r="J7" s="5"/>
      <c r="K7" s="6"/>
      <c r="L7" s="7"/>
      <c r="R7" s="5"/>
      <c r="S7" s="6"/>
      <c r="T7" s="6"/>
      <c r="U7" s="6"/>
      <c r="V7" s="6"/>
      <c r="W7" s="6"/>
      <c r="X7" s="7"/>
      <c r="Z7" s="5"/>
      <c r="AA7" s="6"/>
      <c r="AB7" s="6"/>
      <c r="AC7" s="6"/>
      <c r="AD7" s="6"/>
      <c r="AE7" s="6"/>
      <c r="AF7" s="7"/>
      <c r="AH7" s="5"/>
      <c r="AI7" s="6"/>
      <c r="AJ7" s="6"/>
      <c r="AK7" s="6"/>
      <c r="AL7" s="6"/>
      <c r="AM7" s="6"/>
      <c r="AN7" s="6"/>
      <c r="AO7" s="7"/>
      <c r="AQ7" s="5"/>
      <c r="AR7" s="6"/>
      <c r="AS7" s="6"/>
      <c r="AT7" s="6"/>
      <c r="AU7" s="6"/>
      <c r="AV7" s="6"/>
      <c r="AW7" s="7"/>
    </row>
    <row r="8" spans="2:49" ht="13.5">
      <c r="B8" s="5" t="s">
        <v>42</v>
      </c>
      <c r="C8" s="21">
        <v>0.5</v>
      </c>
      <c r="D8" s="6">
        <v>40</v>
      </c>
      <c r="E8" s="21">
        <f aca="true" t="shared" si="0" ref="E8:E13">0.5*LN((1+C8)/(1-C8))</f>
        <v>0.5493061443340549</v>
      </c>
      <c r="F8" s="21">
        <f aca="true" t="shared" si="1" ref="F8:F13">1/(D8-3)</f>
        <v>0.02702702702702703</v>
      </c>
      <c r="G8" s="21"/>
      <c r="H8" s="22"/>
      <c r="I8" s="77"/>
      <c r="J8" s="25">
        <f aca="true" t="shared" si="2" ref="J8:K13">E8</f>
        <v>0.5493061443340549</v>
      </c>
      <c r="K8" s="21">
        <f t="shared" si="2"/>
        <v>0.02702702702702703</v>
      </c>
      <c r="L8" s="7"/>
      <c r="R8" s="5" t="str">
        <f aca="true" t="shared" si="3" ref="R8:R13">B8</f>
        <v>Fonda</v>
      </c>
      <c r="S8" s="21">
        <f aca="true" t="shared" si="4" ref="S8:T13">J8</f>
        <v>0.5493061443340549</v>
      </c>
      <c r="T8" s="21">
        <f t="shared" si="4"/>
        <v>0.02702702702702703</v>
      </c>
      <c r="U8" s="21">
        <f aca="true" t="shared" si="5" ref="U8:U13">1/T8</f>
        <v>37</v>
      </c>
      <c r="V8" s="21">
        <f aca="true" t="shared" si="6" ref="V8:V13">U8*S8</f>
        <v>20.324327340360032</v>
      </c>
      <c r="W8" s="21">
        <f aca="true" t="shared" si="7" ref="W8:W13">U8*S8^2</f>
        <v>11.164277887516384</v>
      </c>
      <c r="X8" s="22">
        <f aca="true" t="shared" si="8" ref="X8:X13">U8^2</f>
        <v>1369</v>
      </c>
      <c r="Z8" s="5" t="str">
        <f aca="true" t="shared" si="9" ref="Z8:AB13">R8</f>
        <v>Fonda</v>
      </c>
      <c r="AA8" s="21">
        <f>S8</f>
        <v>0.5493061443340549</v>
      </c>
      <c r="AB8" s="21">
        <f>T8</f>
        <v>0.02702702702702703</v>
      </c>
      <c r="AC8" s="21">
        <f aca="true" t="shared" si="10" ref="AC8:AC13">$V$48</f>
        <v>0.08187045540315549</v>
      </c>
      <c r="AD8" s="21">
        <f aca="true" t="shared" si="11" ref="AD8:AD13">AB8+AC8</f>
        <v>0.10889748243018252</v>
      </c>
      <c r="AE8" s="21">
        <f aca="true" t="shared" si="12" ref="AE8:AE13">1/AD8</f>
        <v>9.182948748527133</v>
      </c>
      <c r="AF8" s="22">
        <f aca="true" t="shared" si="13" ref="AF8:AF13">AE8*AA8</f>
        <v>5.044250170670674</v>
      </c>
      <c r="AG8" s="77"/>
      <c r="AH8" s="5" t="str">
        <f aca="true" t="shared" si="14" ref="AH8:AJ13">Z8</f>
        <v>Fonda</v>
      </c>
      <c r="AI8" s="21">
        <f>AA8</f>
        <v>0.5493061443340549</v>
      </c>
      <c r="AJ8" s="21">
        <f>AB8</f>
        <v>0.02702702702702703</v>
      </c>
      <c r="AK8" s="21">
        <f aca="true" t="shared" si="15" ref="AK8:AK13">1/AJ8</f>
        <v>37</v>
      </c>
      <c r="AL8" s="21">
        <f aca="true" t="shared" si="16" ref="AL8:AL13">AK8*AI8</f>
        <v>20.324327340360032</v>
      </c>
      <c r="AM8" s="21">
        <f aca="true" t="shared" si="17" ref="AM8:AM13">AK8*AI8^2</f>
        <v>11.164277887516384</v>
      </c>
      <c r="AN8" s="21">
        <f aca="true" t="shared" si="18" ref="AN8:AN13">AK8^2</f>
        <v>1369</v>
      </c>
      <c r="AO8" s="22">
        <f aca="true" t="shared" si="19" ref="AO8:AO13">AK8^3</f>
        <v>50653</v>
      </c>
      <c r="AP8" s="77"/>
      <c r="AQ8" s="25" t="str">
        <f aca="true" t="shared" si="20" ref="AQ8:AS13">AH8</f>
        <v>Fonda</v>
      </c>
      <c r="AR8" s="21">
        <f>AI8</f>
        <v>0.5493061443340549</v>
      </c>
      <c r="AS8" s="21">
        <f>AJ8</f>
        <v>0.02702702702702703</v>
      </c>
      <c r="AT8" s="21">
        <f aca="true" t="shared" si="21" ref="AT8:AT13">1/AS8</f>
        <v>37</v>
      </c>
      <c r="AU8" s="21">
        <f aca="true" t="shared" si="22" ref="AU8:AU13">$V$24</f>
        <v>0.375039065912344</v>
      </c>
      <c r="AV8" s="21">
        <f aca="true" t="shared" si="23" ref="AV8:AV13">(AR8-AU8)^2</f>
        <v>0.03036901462163874</v>
      </c>
      <c r="AW8" s="22">
        <f aca="true" t="shared" si="24" ref="AW8:AW13">AT8*AV8</f>
        <v>1.1236535410006334</v>
      </c>
    </row>
    <row r="9" spans="2:49" ht="13.5">
      <c r="B9" s="5" t="s">
        <v>43</v>
      </c>
      <c r="C9" s="21">
        <v>0.6</v>
      </c>
      <c r="D9" s="6">
        <v>90</v>
      </c>
      <c r="E9" s="21">
        <f t="shared" si="0"/>
        <v>0.6931471805599453</v>
      </c>
      <c r="F9" s="21">
        <f t="shared" si="1"/>
        <v>0.011494252873563218</v>
      </c>
      <c r="G9" s="21"/>
      <c r="H9" s="22"/>
      <c r="I9" s="77"/>
      <c r="J9" s="25">
        <f t="shared" si="2"/>
        <v>0.6931471805599453</v>
      </c>
      <c r="K9" s="21">
        <f t="shared" si="2"/>
        <v>0.011494252873563218</v>
      </c>
      <c r="L9" s="7"/>
      <c r="R9" s="5" t="str">
        <f t="shared" si="3"/>
        <v>Newman</v>
      </c>
      <c r="S9" s="21">
        <f t="shared" si="4"/>
        <v>0.6931471805599453</v>
      </c>
      <c r="T9" s="21">
        <f t="shared" si="4"/>
        <v>0.011494252873563218</v>
      </c>
      <c r="U9" s="21">
        <f t="shared" si="5"/>
        <v>87</v>
      </c>
      <c r="V9" s="21">
        <f t="shared" si="6"/>
        <v>60.30380470871524</v>
      </c>
      <c r="W9" s="21">
        <f t="shared" si="7"/>
        <v>41.799412210883524</v>
      </c>
      <c r="X9" s="22">
        <f t="shared" si="8"/>
        <v>7569</v>
      </c>
      <c r="Z9" s="5" t="str">
        <f t="shared" si="9"/>
        <v>Newman</v>
      </c>
      <c r="AA9" s="21">
        <f t="shared" si="9"/>
        <v>0.6931471805599453</v>
      </c>
      <c r="AB9" s="21">
        <f t="shared" si="9"/>
        <v>0.011494252873563218</v>
      </c>
      <c r="AC9" s="21">
        <f t="shared" si="10"/>
        <v>0.08187045540315549</v>
      </c>
      <c r="AD9" s="21">
        <f t="shared" si="11"/>
        <v>0.09336470827671871</v>
      </c>
      <c r="AE9" s="21">
        <f t="shared" si="12"/>
        <v>10.710685209192247</v>
      </c>
      <c r="AF9" s="22">
        <f t="shared" si="13"/>
        <v>7.424081254616714</v>
      </c>
      <c r="AG9" s="77"/>
      <c r="AH9" s="5" t="str">
        <f t="shared" si="14"/>
        <v>Newman</v>
      </c>
      <c r="AI9" s="21">
        <f t="shared" si="14"/>
        <v>0.6931471805599453</v>
      </c>
      <c r="AJ9" s="21">
        <f t="shared" si="14"/>
        <v>0.011494252873563218</v>
      </c>
      <c r="AK9" s="21">
        <f t="shared" si="15"/>
        <v>87</v>
      </c>
      <c r="AL9" s="21">
        <f t="shared" si="16"/>
        <v>60.30380470871524</v>
      </c>
      <c r="AM9" s="21">
        <f t="shared" si="17"/>
        <v>41.799412210883524</v>
      </c>
      <c r="AN9" s="21">
        <f t="shared" si="18"/>
        <v>7569</v>
      </c>
      <c r="AO9" s="22">
        <f t="shared" si="19"/>
        <v>658503</v>
      </c>
      <c r="AP9" s="77"/>
      <c r="AQ9" s="25" t="str">
        <f t="shared" si="20"/>
        <v>Newman</v>
      </c>
      <c r="AR9" s="21">
        <f t="shared" si="20"/>
        <v>0.6931471805599453</v>
      </c>
      <c r="AS9" s="21">
        <f t="shared" si="20"/>
        <v>0.011494252873563218</v>
      </c>
      <c r="AT9" s="21">
        <f t="shared" si="21"/>
        <v>87</v>
      </c>
      <c r="AU9" s="21">
        <f t="shared" si="22"/>
        <v>0.375039065912344</v>
      </c>
      <c r="AV9" s="21">
        <f t="shared" si="23"/>
        <v>0.10119277260465145</v>
      </c>
      <c r="AW9" s="22">
        <f t="shared" si="24"/>
        <v>8.803771216604677</v>
      </c>
    </row>
    <row r="10" spans="2:49" ht="13.5">
      <c r="B10" s="5" t="s">
        <v>10</v>
      </c>
      <c r="C10" s="21">
        <v>0.4</v>
      </c>
      <c r="D10" s="6">
        <v>25</v>
      </c>
      <c r="E10" s="21">
        <f t="shared" si="0"/>
        <v>0.42364893019360184</v>
      </c>
      <c r="F10" s="21">
        <f t="shared" si="1"/>
        <v>0.045454545454545456</v>
      </c>
      <c r="G10" s="21"/>
      <c r="H10" s="22"/>
      <c r="I10" s="77"/>
      <c r="J10" s="25">
        <f t="shared" si="2"/>
        <v>0.42364893019360184</v>
      </c>
      <c r="K10" s="21">
        <f t="shared" si="2"/>
        <v>0.045454545454545456</v>
      </c>
      <c r="L10" s="7"/>
      <c r="R10" s="5" t="str">
        <f t="shared" si="3"/>
        <v>Grant</v>
      </c>
      <c r="S10" s="21">
        <f t="shared" si="4"/>
        <v>0.42364893019360184</v>
      </c>
      <c r="T10" s="21">
        <f t="shared" si="4"/>
        <v>0.045454545454545456</v>
      </c>
      <c r="U10" s="21">
        <f t="shared" si="5"/>
        <v>22</v>
      </c>
      <c r="V10" s="21">
        <f t="shared" si="6"/>
        <v>9.32027646425924</v>
      </c>
      <c r="W10" s="21">
        <f t="shared" si="7"/>
        <v>3.9485251531920333</v>
      </c>
      <c r="X10" s="22">
        <f t="shared" si="8"/>
        <v>484</v>
      </c>
      <c r="Z10" s="5" t="str">
        <f t="shared" si="9"/>
        <v>Grant</v>
      </c>
      <c r="AA10" s="21">
        <f t="shared" si="9"/>
        <v>0.42364893019360184</v>
      </c>
      <c r="AB10" s="21">
        <f t="shared" si="9"/>
        <v>0.045454545454545456</v>
      </c>
      <c r="AC10" s="21">
        <f t="shared" si="10"/>
        <v>0.08187045540315549</v>
      </c>
      <c r="AD10" s="21">
        <f t="shared" si="11"/>
        <v>0.12732500085770093</v>
      </c>
      <c r="AE10" s="21">
        <f t="shared" si="12"/>
        <v>7.853917088267725</v>
      </c>
      <c r="AF10" s="22">
        <f t="shared" si="13"/>
        <v>3.3273035722738697</v>
      </c>
      <c r="AG10" s="77"/>
      <c r="AH10" s="5" t="str">
        <f t="shared" si="14"/>
        <v>Grant</v>
      </c>
      <c r="AI10" s="21">
        <f t="shared" si="14"/>
        <v>0.42364893019360184</v>
      </c>
      <c r="AJ10" s="21">
        <f t="shared" si="14"/>
        <v>0.045454545454545456</v>
      </c>
      <c r="AK10" s="21">
        <f t="shared" si="15"/>
        <v>22</v>
      </c>
      <c r="AL10" s="21">
        <f t="shared" si="16"/>
        <v>9.32027646425924</v>
      </c>
      <c r="AM10" s="21">
        <f t="shared" si="17"/>
        <v>3.9485251531920333</v>
      </c>
      <c r="AN10" s="21">
        <f t="shared" si="18"/>
        <v>484</v>
      </c>
      <c r="AO10" s="22">
        <f t="shared" si="19"/>
        <v>10648</v>
      </c>
      <c r="AP10" s="77"/>
      <c r="AQ10" s="25" t="str">
        <f t="shared" si="20"/>
        <v>Grant</v>
      </c>
      <c r="AR10" s="21">
        <f t="shared" si="20"/>
        <v>0.42364893019360184</v>
      </c>
      <c r="AS10" s="21">
        <f t="shared" si="20"/>
        <v>0.045454545454545456</v>
      </c>
      <c r="AT10" s="21">
        <f t="shared" si="21"/>
        <v>22</v>
      </c>
      <c r="AU10" s="21">
        <f t="shared" si="22"/>
        <v>0.375039065912344</v>
      </c>
      <c r="AV10" s="21">
        <f t="shared" si="23"/>
        <v>0.0023629189054423082</v>
      </c>
      <c r="AW10" s="22">
        <f t="shared" si="24"/>
        <v>0.05198421591973078</v>
      </c>
    </row>
    <row r="11" spans="2:49" ht="13.5">
      <c r="B11" s="5" t="s">
        <v>44</v>
      </c>
      <c r="C11" s="21">
        <v>0.2</v>
      </c>
      <c r="D11" s="6">
        <v>400</v>
      </c>
      <c r="E11" s="21">
        <f t="shared" si="0"/>
        <v>0.2027325540540821</v>
      </c>
      <c r="F11" s="21">
        <f t="shared" si="1"/>
        <v>0.0025188916876574307</v>
      </c>
      <c r="G11" s="21"/>
      <c r="H11" s="22"/>
      <c r="I11" s="77"/>
      <c r="J11" s="25">
        <f t="shared" si="2"/>
        <v>0.2027325540540821</v>
      </c>
      <c r="K11" s="21">
        <f t="shared" si="2"/>
        <v>0.0025188916876574307</v>
      </c>
      <c r="L11" s="7"/>
      <c r="R11" s="5" t="str">
        <f t="shared" si="3"/>
        <v>Granger</v>
      </c>
      <c r="S11" s="21">
        <f t="shared" si="4"/>
        <v>0.2027325540540821</v>
      </c>
      <c r="T11" s="21">
        <f t="shared" si="4"/>
        <v>0.0025188916876574307</v>
      </c>
      <c r="U11" s="21">
        <f t="shared" si="5"/>
        <v>397</v>
      </c>
      <c r="V11" s="21">
        <f t="shared" si="6"/>
        <v>80.4848239594706</v>
      </c>
      <c r="W11" s="21">
        <f t="shared" si="7"/>
        <v>16.316893923896657</v>
      </c>
      <c r="X11" s="22">
        <f t="shared" si="8"/>
        <v>157609</v>
      </c>
      <c r="Z11" s="5" t="str">
        <f t="shared" si="9"/>
        <v>Granger</v>
      </c>
      <c r="AA11" s="21">
        <f t="shared" si="9"/>
        <v>0.2027325540540821</v>
      </c>
      <c r="AB11" s="21">
        <f t="shared" si="9"/>
        <v>0.0025188916876574307</v>
      </c>
      <c r="AC11" s="21">
        <f t="shared" si="10"/>
        <v>0.08187045540315549</v>
      </c>
      <c r="AD11" s="21">
        <f t="shared" si="11"/>
        <v>0.08438934709081292</v>
      </c>
      <c r="AE11" s="21">
        <f t="shared" si="12"/>
        <v>11.84983691038493</v>
      </c>
      <c r="AF11" s="22">
        <f t="shared" si="13"/>
        <v>2.4023477019666704</v>
      </c>
      <c r="AG11" s="77"/>
      <c r="AH11" s="5" t="str">
        <f t="shared" si="14"/>
        <v>Granger</v>
      </c>
      <c r="AI11" s="21">
        <f t="shared" si="14"/>
        <v>0.2027325540540821</v>
      </c>
      <c r="AJ11" s="21">
        <f t="shared" si="14"/>
        <v>0.0025188916876574307</v>
      </c>
      <c r="AK11" s="21">
        <f t="shared" si="15"/>
        <v>397</v>
      </c>
      <c r="AL11" s="21">
        <f t="shared" si="16"/>
        <v>80.4848239594706</v>
      </c>
      <c r="AM11" s="21">
        <f t="shared" si="17"/>
        <v>16.316893923896657</v>
      </c>
      <c r="AN11" s="21">
        <f t="shared" si="18"/>
        <v>157609</v>
      </c>
      <c r="AO11" s="22">
        <f t="shared" si="19"/>
        <v>62570773</v>
      </c>
      <c r="AP11" s="77"/>
      <c r="AQ11" s="25" t="str">
        <f t="shared" si="20"/>
        <v>Granger</v>
      </c>
      <c r="AR11" s="21">
        <f t="shared" si="20"/>
        <v>0.2027325540540821</v>
      </c>
      <c r="AS11" s="21">
        <f t="shared" si="20"/>
        <v>0.0025188916876574307</v>
      </c>
      <c r="AT11" s="21">
        <f t="shared" si="21"/>
        <v>397</v>
      </c>
      <c r="AU11" s="21">
        <f t="shared" si="22"/>
        <v>0.375039065912344</v>
      </c>
      <c r="AV11" s="21">
        <f t="shared" si="23"/>
        <v>0.02968953402876134</v>
      </c>
      <c r="AW11" s="22">
        <f t="shared" si="24"/>
        <v>11.786745009418253</v>
      </c>
    </row>
    <row r="12" spans="2:49" ht="13.5">
      <c r="B12" s="5" t="s">
        <v>45</v>
      </c>
      <c r="C12" s="21">
        <v>0.7</v>
      </c>
      <c r="D12" s="6">
        <v>60</v>
      </c>
      <c r="E12" s="21">
        <f t="shared" si="0"/>
        <v>0.8673005276940532</v>
      </c>
      <c r="F12" s="21">
        <f t="shared" si="1"/>
        <v>0.017543859649122806</v>
      </c>
      <c r="G12" s="21"/>
      <c r="H12" s="22"/>
      <c r="I12" s="77"/>
      <c r="J12" s="25">
        <f t="shared" si="2"/>
        <v>0.8673005276940532</v>
      </c>
      <c r="K12" s="21">
        <f t="shared" si="2"/>
        <v>0.017543859649122806</v>
      </c>
      <c r="L12" s="7"/>
      <c r="R12" s="5" t="str">
        <f t="shared" si="3"/>
        <v>Milland</v>
      </c>
      <c r="S12" s="21">
        <f t="shared" si="4"/>
        <v>0.8673005276940532</v>
      </c>
      <c r="T12" s="21">
        <f t="shared" si="4"/>
        <v>0.017543859649122806</v>
      </c>
      <c r="U12" s="21">
        <f t="shared" si="5"/>
        <v>57</v>
      </c>
      <c r="V12" s="21">
        <f t="shared" si="6"/>
        <v>49.436130078561035</v>
      </c>
      <c r="W12" s="21">
        <f t="shared" si="7"/>
        <v>42.87598170428784</v>
      </c>
      <c r="X12" s="22">
        <f t="shared" si="8"/>
        <v>3249</v>
      </c>
      <c r="Z12" s="5" t="str">
        <f t="shared" si="9"/>
        <v>Milland</v>
      </c>
      <c r="AA12" s="21">
        <f t="shared" si="9"/>
        <v>0.8673005276940532</v>
      </c>
      <c r="AB12" s="21">
        <f t="shared" si="9"/>
        <v>0.017543859649122806</v>
      </c>
      <c r="AC12" s="21">
        <f t="shared" si="10"/>
        <v>0.08187045540315549</v>
      </c>
      <c r="AD12" s="21">
        <f t="shared" si="11"/>
        <v>0.0994143150522783</v>
      </c>
      <c r="AE12" s="21">
        <f t="shared" si="12"/>
        <v>10.058913542522896</v>
      </c>
      <c r="AF12" s="22">
        <f t="shared" si="13"/>
        <v>8.724101023458966</v>
      </c>
      <c r="AG12" s="77"/>
      <c r="AH12" s="5" t="str">
        <f t="shared" si="14"/>
        <v>Milland</v>
      </c>
      <c r="AI12" s="21">
        <f t="shared" si="14"/>
        <v>0.8673005276940532</v>
      </c>
      <c r="AJ12" s="21">
        <f t="shared" si="14"/>
        <v>0.017543859649122806</v>
      </c>
      <c r="AK12" s="21">
        <f t="shared" si="15"/>
        <v>57</v>
      </c>
      <c r="AL12" s="21">
        <f t="shared" si="16"/>
        <v>49.436130078561035</v>
      </c>
      <c r="AM12" s="21">
        <f t="shared" si="17"/>
        <v>42.87598170428784</v>
      </c>
      <c r="AN12" s="21">
        <f t="shared" si="18"/>
        <v>3249</v>
      </c>
      <c r="AO12" s="22">
        <f t="shared" si="19"/>
        <v>185193</v>
      </c>
      <c r="AP12" s="77"/>
      <c r="AQ12" s="25" t="str">
        <f t="shared" si="20"/>
        <v>Milland</v>
      </c>
      <c r="AR12" s="21">
        <f t="shared" si="20"/>
        <v>0.8673005276940532</v>
      </c>
      <c r="AS12" s="21">
        <f t="shared" si="20"/>
        <v>0.017543859649122806</v>
      </c>
      <c r="AT12" s="21">
        <f t="shared" si="21"/>
        <v>57</v>
      </c>
      <c r="AU12" s="21">
        <f t="shared" si="22"/>
        <v>0.375039065912344</v>
      </c>
      <c r="AV12" s="21">
        <f t="shared" si="23"/>
        <v>0.24232134675546516</v>
      </c>
      <c r="AW12" s="22">
        <f t="shared" si="24"/>
        <v>13.812316765061514</v>
      </c>
    </row>
    <row r="13" spans="2:49" ht="13.5">
      <c r="B13" s="5" t="s">
        <v>46</v>
      </c>
      <c r="C13" s="21">
        <v>0.45</v>
      </c>
      <c r="D13" s="6">
        <v>50</v>
      </c>
      <c r="E13" s="21">
        <f t="shared" si="0"/>
        <v>0.48470027859405174</v>
      </c>
      <c r="F13" s="21">
        <f t="shared" si="1"/>
        <v>0.02127659574468085</v>
      </c>
      <c r="G13" s="21"/>
      <c r="H13" s="22"/>
      <c r="I13" s="77"/>
      <c r="J13" s="25">
        <f t="shared" si="2"/>
        <v>0.48470027859405174</v>
      </c>
      <c r="K13" s="21">
        <f t="shared" si="2"/>
        <v>0.02127659574468085</v>
      </c>
      <c r="L13" s="7"/>
      <c r="R13" s="5" t="str">
        <f t="shared" si="3"/>
        <v>Finch</v>
      </c>
      <c r="S13" s="21">
        <f t="shared" si="4"/>
        <v>0.48470027859405174</v>
      </c>
      <c r="T13" s="21">
        <f t="shared" si="4"/>
        <v>0.02127659574468085</v>
      </c>
      <c r="U13" s="21">
        <f t="shared" si="5"/>
        <v>47</v>
      </c>
      <c r="V13" s="21">
        <f t="shared" si="6"/>
        <v>22.780913093920432</v>
      </c>
      <c r="W13" s="21">
        <f t="shared" si="7"/>
        <v>11.041914923250115</v>
      </c>
      <c r="X13" s="22">
        <f t="shared" si="8"/>
        <v>2209</v>
      </c>
      <c r="Z13" s="5" t="str">
        <f t="shared" si="9"/>
        <v>Finch</v>
      </c>
      <c r="AA13" s="21">
        <f t="shared" si="9"/>
        <v>0.48470027859405174</v>
      </c>
      <c r="AB13" s="21">
        <f t="shared" si="9"/>
        <v>0.02127659574468085</v>
      </c>
      <c r="AC13" s="21">
        <f t="shared" si="10"/>
        <v>0.08187045540315549</v>
      </c>
      <c r="AD13" s="21">
        <f t="shared" si="11"/>
        <v>0.10314705114783634</v>
      </c>
      <c r="AE13" s="21">
        <f t="shared" si="12"/>
        <v>9.694896643887006</v>
      </c>
      <c r="AF13" s="22">
        <f t="shared" si="13"/>
        <v>4.699119104232569</v>
      </c>
      <c r="AG13" s="77"/>
      <c r="AH13" s="5" t="str">
        <f t="shared" si="14"/>
        <v>Finch</v>
      </c>
      <c r="AI13" s="21">
        <f t="shared" si="14"/>
        <v>0.48470027859405174</v>
      </c>
      <c r="AJ13" s="21">
        <f t="shared" si="14"/>
        <v>0.02127659574468085</v>
      </c>
      <c r="AK13" s="21">
        <f t="shared" si="15"/>
        <v>47</v>
      </c>
      <c r="AL13" s="21">
        <f t="shared" si="16"/>
        <v>22.780913093920432</v>
      </c>
      <c r="AM13" s="21">
        <f t="shared" si="17"/>
        <v>11.041914923250115</v>
      </c>
      <c r="AN13" s="21">
        <f t="shared" si="18"/>
        <v>2209</v>
      </c>
      <c r="AO13" s="22">
        <f t="shared" si="19"/>
        <v>103823</v>
      </c>
      <c r="AP13" s="77"/>
      <c r="AQ13" s="25" t="str">
        <f t="shared" si="20"/>
        <v>Finch</v>
      </c>
      <c r="AR13" s="21">
        <f t="shared" si="20"/>
        <v>0.48470027859405174</v>
      </c>
      <c r="AS13" s="21">
        <f t="shared" si="20"/>
        <v>0.02127659574468085</v>
      </c>
      <c r="AT13" s="21">
        <f t="shared" si="21"/>
        <v>47</v>
      </c>
      <c r="AU13" s="21">
        <f t="shared" si="22"/>
        <v>0.375039065912344</v>
      </c>
      <c r="AV13" s="21">
        <f t="shared" si="23"/>
        <v>0.012025581566822742</v>
      </c>
      <c r="AW13" s="22">
        <f t="shared" si="24"/>
        <v>0.5652023336406689</v>
      </c>
    </row>
    <row r="14" spans="2:49" ht="13.5">
      <c r="B14" s="5"/>
      <c r="C14" s="6"/>
      <c r="D14" s="6"/>
      <c r="E14" s="6"/>
      <c r="F14" s="6"/>
      <c r="G14" s="6"/>
      <c r="H14" s="7"/>
      <c r="J14" s="5"/>
      <c r="K14" s="6"/>
      <c r="L14" s="7"/>
      <c r="R14" s="5"/>
      <c r="S14" s="21"/>
      <c r="T14" s="21"/>
      <c r="U14" s="21"/>
      <c r="V14" s="21"/>
      <c r="W14" s="21"/>
      <c r="X14" s="22"/>
      <c r="Z14" s="5"/>
      <c r="AA14" s="21"/>
      <c r="AB14" s="21"/>
      <c r="AC14" s="21"/>
      <c r="AD14" s="21"/>
      <c r="AE14" s="21"/>
      <c r="AF14" s="22"/>
      <c r="AG14" s="77"/>
      <c r="AH14" s="5"/>
      <c r="AI14" s="21"/>
      <c r="AJ14" s="21"/>
      <c r="AK14" s="21"/>
      <c r="AL14" s="21"/>
      <c r="AM14" s="21"/>
      <c r="AN14" s="21"/>
      <c r="AO14" s="22"/>
      <c r="AP14" s="77"/>
      <c r="AQ14" s="25"/>
      <c r="AR14" s="21"/>
      <c r="AS14" s="21"/>
      <c r="AT14" s="21"/>
      <c r="AU14" s="21"/>
      <c r="AV14" s="21"/>
      <c r="AW14" s="22"/>
    </row>
    <row r="15" spans="2:49" ht="15" thickBot="1">
      <c r="B15" s="44"/>
      <c r="C15" s="58"/>
      <c r="D15" s="58"/>
      <c r="E15" s="58"/>
      <c r="F15" s="58"/>
      <c r="G15" s="58"/>
      <c r="H15" s="60"/>
      <c r="J15" s="44"/>
      <c r="K15" s="58"/>
      <c r="L15" s="60"/>
      <c r="R15" s="44"/>
      <c r="S15" s="45"/>
      <c r="T15" s="45"/>
      <c r="U15" s="45">
        <f>SUM(U8:U14)</f>
        <v>647</v>
      </c>
      <c r="V15" s="45">
        <f>SUM(V8:V14)</f>
        <v>242.65027564528657</v>
      </c>
      <c r="W15" s="45">
        <f>SUM(W8:W14)</f>
        <v>127.14700580302656</v>
      </c>
      <c r="X15" s="46">
        <f>SUM(X8:X14)</f>
        <v>172489</v>
      </c>
      <c r="Z15" s="44"/>
      <c r="AA15" s="45"/>
      <c r="AB15" s="45"/>
      <c r="AC15" s="45"/>
      <c r="AD15" s="45"/>
      <c r="AE15" s="45">
        <f>SUM(AE8:AE14)</f>
        <v>59.35119814278193</v>
      </c>
      <c r="AF15" s="46">
        <f>SUM(AF8:AF14)</f>
        <v>31.62120282721946</v>
      </c>
      <c r="AG15" s="77"/>
      <c r="AH15" s="44"/>
      <c r="AI15" s="45"/>
      <c r="AJ15" s="45"/>
      <c r="AK15" s="45">
        <f>SUM(AK8:AK14)</f>
        <v>647</v>
      </c>
      <c r="AL15" s="45">
        <f>SUM(AL8:AL14)</f>
        <v>242.65027564528657</v>
      </c>
      <c r="AM15" s="45">
        <f>SUM(AM8:AM14)</f>
        <v>127.14700580302656</v>
      </c>
      <c r="AN15" s="45">
        <f>SUM(AN8:AN14)</f>
        <v>172489</v>
      </c>
      <c r="AO15" s="46">
        <f>SUM(AO8:AO14)</f>
        <v>63579593</v>
      </c>
      <c r="AP15" s="77"/>
      <c r="AQ15" s="78"/>
      <c r="AR15" s="45"/>
      <c r="AS15" s="45"/>
      <c r="AT15" s="45"/>
      <c r="AU15" s="45"/>
      <c r="AV15" s="45"/>
      <c r="AW15" s="46">
        <f>SUM(AW8:AW14)</f>
        <v>36.143673081645474</v>
      </c>
    </row>
    <row r="17" spans="18:41" ht="13.5">
      <c r="R17" s="90" t="s">
        <v>105</v>
      </c>
      <c r="S17" s="90"/>
      <c r="T17" s="90"/>
      <c r="U17" s="90"/>
      <c r="V17" s="90"/>
      <c r="W17" s="90"/>
      <c r="X17" s="90"/>
      <c r="Z17" s="90" t="s">
        <v>145</v>
      </c>
      <c r="AA17" s="90"/>
      <c r="AB17" s="90"/>
      <c r="AC17" s="90"/>
      <c r="AD17" s="90"/>
      <c r="AE17" s="90"/>
      <c r="AF17" s="90"/>
      <c r="AH17" s="90" t="s">
        <v>163</v>
      </c>
      <c r="AI17" s="90"/>
      <c r="AJ17" s="90"/>
      <c r="AK17" s="90"/>
      <c r="AL17" s="90"/>
      <c r="AM17" s="90"/>
      <c r="AN17" s="90"/>
      <c r="AO17" s="90"/>
    </row>
    <row r="18" spans="18:41" ht="15" thickBot="1">
      <c r="R18" s="103"/>
      <c r="S18" s="103"/>
      <c r="T18" s="103"/>
      <c r="U18" s="103"/>
      <c r="V18" s="103"/>
      <c r="W18" s="103"/>
      <c r="X18" s="103"/>
      <c r="Z18" s="103"/>
      <c r="AA18" s="103"/>
      <c r="AB18" s="103"/>
      <c r="AC18" s="103"/>
      <c r="AD18" s="103"/>
      <c r="AE18" s="103"/>
      <c r="AF18" s="103"/>
      <c r="AN18" s="21"/>
      <c r="AO18" s="21"/>
    </row>
    <row r="19" spans="18:41" ht="13.5">
      <c r="R19" s="100" t="s">
        <v>189</v>
      </c>
      <c r="S19" s="101"/>
      <c r="T19" s="101"/>
      <c r="U19" s="101"/>
      <c r="V19" s="101"/>
      <c r="W19" s="101"/>
      <c r="X19" s="102"/>
      <c r="Z19" s="100" t="s">
        <v>174</v>
      </c>
      <c r="AA19" s="101"/>
      <c r="AB19" s="101"/>
      <c r="AC19" s="101"/>
      <c r="AD19" s="101"/>
      <c r="AE19" s="101"/>
      <c r="AF19" s="102"/>
      <c r="AH19" s="71" t="s">
        <v>80</v>
      </c>
      <c r="AI19" s="53"/>
      <c r="AJ19" s="53"/>
      <c r="AK19" s="53"/>
      <c r="AL19" s="53"/>
      <c r="AM19" s="53"/>
      <c r="AN19" s="54"/>
      <c r="AO19" s="55"/>
    </row>
    <row r="20" spans="18:41" ht="13.5">
      <c r="R20" s="5"/>
      <c r="S20" s="6"/>
      <c r="T20" s="6"/>
      <c r="U20" s="6"/>
      <c r="V20" s="6"/>
      <c r="W20" s="6"/>
      <c r="X20" s="7"/>
      <c r="Z20" s="5"/>
      <c r="AA20" s="6"/>
      <c r="AB20" s="6"/>
      <c r="AC20" s="6"/>
      <c r="AD20" s="6"/>
      <c r="AE20" s="6"/>
      <c r="AF20" s="7"/>
      <c r="AH20" s="5"/>
      <c r="AI20" s="6"/>
      <c r="AJ20" s="6"/>
      <c r="AK20" s="6"/>
      <c r="AL20" s="6"/>
      <c r="AM20" s="6"/>
      <c r="AN20" s="36" t="s">
        <v>81</v>
      </c>
      <c r="AO20" s="65" t="s">
        <v>176</v>
      </c>
    </row>
    <row r="21" spans="18:41" ht="13.5">
      <c r="R21" s="5"/>
      <c r="S21" s="6"/>
      <c r="T21" s="6"/>
      <c r="U21" s="6"/>
      <c r="V21" s="6"/>
      <c r="W21" s="6"/>
      <c r="X21" s="7"/>
      <c r="Z21" s="5"/>
      <c r="AA21" s="6"/>
      <c r="AB21" s="6"/>
      <c r="AC21" s="6"/>
      <c r="AD21" s="6"/>
      <c r="AE21" s="6"/>
      <c r="AF21" s="7"/>
      <c r="AH21" s="40" t="s">
        <v>116</v>
      </c>
      <c r="AI21" s="6"/>
      <c r="AJ21" s="6"/>
      <c r="AK21" s="6"/>
      <c r="AL21" s="6"/>
      <c r="AM21" s="6"/>
      <c r="AN21" s="6"/>
      <c r="AO21" s="7"/>
    </row>
    <row r="22" spans="18:41" ht="13.5">
      <c r="R22" s="5"/>
      <c r="S22" s="6"/>
      <c r="T22" s="6"/>
      <c r="U22" s="6"/>
      <c r="V22" s="6"/>
      <c r="W22" s="36" t="s">
        <v>81</v>
      </c>
      <c r="X22" s="65" t="s">
        <v>176</v>
      </c>
      <c r="Z22" s="5"/>
      <c r="AA22" s="6"/>
      <c r="AB22" s="6"/>
      <c r="AC22" s="6"/>
      <c r="AD22" s="6"/>
      <c r="AE22" s="36" t="s">
        <v>81</v>
      </c>
      <c r="AF22" s="65" t="s">
        <v>176</v>
      </c>
      <c r="AH22" s="5" t="s">
        <v>117</v>
      </c>
      <c r="AI22" s="6"/>
      <c r="AJ22" s="6"/>
      <c r="AK22" s="6"/>
      <c r="AL22" s="37" t="s">
        <v>21</v>
      </c>
      <c r="AM22" s="6">
        <f>W15-(V15^2/U15)</f>
        <v>36.14367308164549</v>
      </c>
      <c r="AN22" s="6">
        <v>16.3</v>
      </c>
      <c r="AO22" s="64"/>
    </row>
    <row r="23" spans="18:41" ht="13.5">
      <c r="R23" s="40" t="s">
        <v>75</v>
      </c>
      <c r="S23" s="6"/>
      <c r="T23" s="6"/>
      <c r="U23" s="6"/>
      <c r="V23" s="6"/>
      <c r="W23" s="6"/>
      <c r="X23" s="7"/>
      <c r="Z23" s="40" t="s">
        <v>75</v>
      </c>
      <c r="AA23" s="6"/>
      <c r="AB23" s="6"/>
      <c r="AC23" s="6"/>
      <c r="AD23" s="6"/>
      <c r="AE23" s="36"/>
      <c r="AF23" s="65"/>
      <c r="AH23" s="5" t="s">
        <v>118</v>
      </c>
      <c r="AI23" s="6"/>
      <c r="AJ23" s="6"/>
      <c r="AK23" s="6"/>
      <c r="AL23" s="37" t="s">
        <v>22</v>
      </c>
      <c r="AM23" s="6">
        <f>COUNT(AI8:AI13)-1</f>
        <v>5</v>
      </c>
      <c r="AN23" s="6">
        <v>16.4</v>
      </c>
      <c r="AO23" s="64"/>
    </row>
    <row r="24" spans="18:41" ht="13.5">
      <c r="R24" s="96" t="s">
        <v>60</v>
      </c>
      <c r="S24" s="97"/>
      <c r="T24" s="6"/>
      <c r="U24" s="37" t="s">
        <v>19</v>
      </c>
      <c r="V24" s="21">
        <f>V15/U15</f>
        <v>0.375039065912344</v>
      </c>
      <c r="W24" s="6">
        <v>11.3</v>
      </c>
      <c r="X24" s="64" t="s">
        <v>237</v>
      </c>
      <c r="Z24" s="96" t="s">
        <v>60</v>
      </c>
      <c r="AA24" s="97"/>
      <c r="AB24" s="6"/>
      <c r="AC24" s="37" t="s">
        <v>30</v>
      </c>
      <c r="AD24" s="38">
        <f>AF15/AE15</f>
        <v>0.5327812043684094</v>
      </c>
      <c r="AE24" s="6">
        <v>12.7</v>
      </c>
      <c r="AF24" s="64" t="s">
        <v>238</v>
      </c>
      <c r="AH24" s="5" t="s">
        <v>128</v>
      </c>
      <c r="AI24" s="6"/>
      <c r="AJ24" s="6"/>
      <c r="AK24" s="6"/>
      <c r="AL24" s="37" t="s">
        <v>24</v>
      </c>
      <c r="AM24" s="6">
        <f>CHIDIST(AM22,AM23)</f>
        <v>8.889841123244658E-07</v>
      </c>
      <c r="AN24" s="6"/>
      <c r="AO24" s="64"/>
    </row>
    <row r="25" spans="18:41" ht="15.75">
      <c r="R25" s="96" t="s">
        <v>61</v>
      </c>
      <c r="S25" s="97"/>
      <c r="T25" s="6"/>
      <c r="U25" s="37" t="s">
        <v>68</v>
      </c>
      <c r="V25" s="21">
        <f>1/U15</f>
        <v>0.0015455950540958269</v>
      </c>
      <c r="W25" s="6">
        <v>11.4</v>
      </c>
      <c r="X25" s="64" t="s">
        <v>237</v>
      </c>
      <c r="Z25" s="96" t="s">
        <v>61</v>
      </c>
      <c r="AA25" s="97"/>
      <c r="AB25" s="6"/>
      <c r="AC25" s="37" t="s">
        <v>109</v>
      </c>
      <c r="AD25" s="38">
        <f>1/AE15</f>
        <v>0.016848859522503444</v>
      </c>
      <c r="AE25" s="6">
        <v>12.8</v>
      </c>
      <c r="AF25" s="64" t="s">
        <v>238</v>
      </c>
      <c r="AH25" s="5" t="s">
        <v>119</v>
      </c>
      <c r="AI25" s="6"/>
      <c r="AJ25" s="6"/>
      <c r="AK25" s="6"/>
      <c r="AL25" s="37" t="s">
        <v>23</v>
      </c>
      <c r="AM25" s="6">
        <f>AK15-(AN15/AK15)</f>
        <v>380.40185471406494</v>
      </c>
      <c r="AN25" s="6">
        <v>16.6</v>
      </c>
      <c r="AO25" s="64"/>
    </row>
    <row r="26" spans="18:52" ht="15.75">
      <c r="R26" s="96" t="s">
        <v>62</v>
      </c>
      <c r="S26" s="97"/>
      <c r="T26" s="6"/>
      <c r="U26" s="37" t="s">
        <v>69</v>
      </c>
      <c r="V26" s="21">
        <f>SQRT(V25)</f>
        <v>0.03931405669853757</v>
      </c>
      <c r="W26" s="6">
        <v>11.5</v>
      </c>
      <c r="X26" s="64" t="s">
        <v>237</v>
      </c>
      <c r="Z26" s="96" t="s">
        <v>62</v>
      </c>
      <c r="AA26" s="97"/>
      <c r="AB26" s="6"/>
      <c r="AC26" s="37" t="s">
        <v>110</v>
      </c>
      <c r="AD26" s="38">
        <f>SQRT(AD25)</f>
        <v>0.12980315682795793</v>
      </c>
      <c r="AE26" s="6">
        <v>12.9</v>
      </c>
      <c r="AF26" s="64" t="s">
        <v>238</v>
      </c>
      <c r="AH26" s="5"/>
      <c r="AI26" s="6"/>
      <c r="AJ26" s="6"/>
      <c r="AK26" s="6"/>
      <c r="AL26" s="6" t="s">
        <v>26</v>
      </c>
      <c r="AM26" s="6">
        <f>(AM23+2*(AK15-AN15/AK15)*AM29+(AN15-2*(AO15/AK15)+AN15^2/AK15^2)*AM29^2)</f>
        <v>382.49832598665455</v>
      </c>
      <c r="AN26" s="61">
        <v>16.11</v>
      </c>
      <c r="AO26" s="64"/>
      <c r="AZ26" s="1"/>
    </row>
    <row r="27" spans="18:52" ht="13.5">
      <c r="R27" s="5"/>
      <c r="S27" s="6"/>
      <c r="T27" s="6"/>
      <c r="U27" s="6"/>
      <c r="V27" s="21"/>
      <c r="W27" s="6"/>
      <c r="X27" s="64"/>
      <c r="Z27" s="5"/>
      <c r="AA27" s="6"/>
      <c r="AB27" s="6"/>
      <c r="AC27" s="6"/>
      <c r="AD27" s="6"/>
      <c r="AE27" s="6"/>
      <c r="AF27" s="64"/>
      <c r="AH27" s="5"/>
      <c r="AI27" s="6"/>
      <c r="AJ27" s="6"/>
      <c r="AK27" s="6"/>
      <c r="AL27" s="6"/>
      <c r="AM27" s="6"/>
      <c r="AN27" s="6"/>
      <c r="AO27" s="7"/>
      <c r="AZ27" s="1"/>
    </row>
    <row r="28" spans="18:52" ht="15.75">
      <c r="R28" s="40" t="s">
        <v>76</v>
      </c>
      <c r="S28" s="6"/>
      <c r="T28" s="6"/>
      <c r="U28" s="6"/>
      <c r="V28" s="21"/>
      <c r="W28" s="6"/>
      <c r="X28" s="64"/>
      <c r="Z28" s="40" t="s">
        <v>76</v>
      </c>
      <c r="AA28" s="6"/>
      <c r="AB28" s="6"/>
      <c r="AC28" s="6"/>
      <c r="AD28" s="6"/>
      <c r="AE28" s="6"/>
      <c r="AF28" s="64"/>
      <c r="AH28" s="88" t="s">
        <v>249</v>
      </c>
      <c r="AI28" s="6"/>
      <c r="AJ28" s="6"/>
      <c r="AK28" s="6"/>
      <c r="AL28" s="6"/>
      <c r="AM28" s="6"/>
      <c r="AN28" s="6"/>
      <c r="AO28" s="7"/>
      <c r="AZ28" s="1"/>
    </row>
    <row r="29" spans="18:41" ht="16.5">
      <c r="R29" s="96" t="s">
        <v>63</v>
      </c>
      <c r="S29" s="97"/>
      <c r="T29" s="6"/>
      <c r="U29" s="37" t="s">
        <v>70</v>
      </c>
      <c r="V29" s="21">
        <f>V24-1.96*V26</f>
        <v>0.29798351478321033</v>
      </c>
      <c r="W29" s="6">
        <v>11.6</v>
      </c>
      <c r="X29" s="64" t="s">
        <v>237</v>
      </c>
      <c r="Z29" s="96" t="s">
        <v>63</v>
      </c>
      <c r="AA29" s="97"/>
      <c r="AB29" s="6"/>
      <c r="AC29" s="37" t="s">
        <v>111</v>
      </c>
      <c r="AD29" s="38">
        <f>AD24-1.96*AD26</f>
        <v>0.27836701698561184</v>
      </c>
      <c r="AE29" s="47" t="s">
        <v>88</v>
      </c>
      <c r="AF29" s="64" t="s">
        <v>238</v>
      </c>
      <c r="AH29" s="5" t="s">
        <v>120</v>
      </c>
      <c r="AI29" s="6"/>
      <c r="AJ29" s="6"/>
      <c r="AK29" s="6"/>
      <c r="AL29" s="37" t="s">
        <v>129</v>
      </c>
      <c r="AM29" s="6">
        <f>MAX((AM22-AM23)/AM25,0)</f>
        <v>0.08187045540315549</v>
      </c>
      <c r="AN29" s="6">
        <v>16.5</v>
      </c>
      <c r="AO29" s="64"/>
    </row>
    <row r="30" spans="18:41" ht="16.5">
      <c r="R30" s="96" t="s">
        <v>64</v>
      </c>
      <c r="S30" s="97"/>
      <c r="T30" s="6"/>
      <c r="U30" s="37" t="s">
        <v>71</v>
      </c>
      <c r="V30" s="21">
        <f>V24+1.96*V26</f>
        <v>0.45209461704147763</v>
      </c>
      <c r="W30" s="6">
        <v>11.7</v>
      </c>
      <c r="X30" s="64" t="s">
        <v>237</v>
      </c>
      <c r="Z30" s="96" t="s">
        <v>64</v>
      </c>
      <c r="AA30" s="97"/>
      <c r="AB30" s="6"/>
      <c r="AC30" s="37" t="s">
        <v>112</v>
      </c>
      <c r="AD30" s="38">
        <f>AD24+1.96*AD26</f>
        <v>0.7871953917512069</v>
      </c>
      <c r="AE30" s="6">
        <v>12.11</v>
      </c>
      <c r="AF30" s="64" t="s">
        <v>238</v>
      </c>
      <c r="AH30" s="5" t="s">
        <v>147</v>
      </c>
      <c r="AI30" s="6"/>
      <c r="AJ30" s="6"/>
      <c r="AK30" s="6"/>
      <c r="AL30" s="37" t="s">
        <v>130</v>
      </c>
      <c r="AM30" s="6">
        <f>2*(AM26/AM25^2)</f>
        <v>0.005286573601259448</v>
      </c>
      <c r="AN30" s="61">
        <v>16.12</v>
      </c>
      <c r="AO30" s="64"/>
    </row>
    <row r="31" spans="18:41" ht="16.5">
      <c r="R31" s="5"/>
      <c r="S31" s="6"/>
      <c r="T31" s="6"/>
      <c r="U31" s="6"/>
      <c r="V31" s="21"/>
      <c r="W31" s="6"/>
      <c r="X31" s="64"/>
      <c r="Z31" s="5"/>
      <c r="AA31" s="6"/>
      <c r="AB31" s="6"/>
      <c r="AC31" s="6"/>
      <c r="AD31" s="6"/>
      <c r="AE31" s="6"/>
      <c r="AF31" s="64"/>
      <c r="AH31" s="5" t="s">
        <v>148</v>
      </c>
      <c r="AI31" s="6"/>
      <c r="AJ31" s="6"/>
      <c r="AK31" s="6"/>
      <c r="AL31" s="37" t="s">
        <v>131</v>
      </c>
      <c r="AM31" s="6">
        <f>SQRT(AM30)</f>
        <v>0.07270882753324694</v>
      </c>
      <c r="AN31" s="61">
        <v>16.13</v>
      </c>
      <c r="AO31" s="64"/>
    </row>
    <row r="32" spans="18:41" ht="13.5">
      <c r="R32" s="40" t="s">
        <v>77</v>
      </c>
      <c r="S32" s="6"/>
      <c r="T32" s="6"/>
      <c r="U32" s="6"/>
      <c r="V32" s="21"/>
      <c r="W32" s="6"/>
      <c r="X32" s="64"/>
      <c r="Z32" s="40" t="s">
        <v>77</v>
      </c>
      <c r="AA32" s="6"/>
      <c r="AB32" s="6"/>
      <c r="AC32" s="6"/>
      <c r="AD32" s="6"/>
      <c r="AE32" s="6"/>
      <c r="AF32" s="64"/>
      <c r="AH32" s="5" t="s">
        <v>149</v>
      </c>
      <c r="AI32" s="6"/>
      <c r="AJ32" s="6"/>
      <c r="AK32" s="6"/>
      <c r="AL32" s="37" t="s">
        <v>27</v>
      </c>
      <c r="AM32" s="6">
        <f>0.5*(LN(AM22)-LN(AM23))/(SQRT(2*AM22)-SQRT(2*AM23-1))</f>
        <v>0.17975221210597964</v>
      </c>
      <c r="AN32" s="62" t="s">
        <v>177</v>
      </c>
      <c r="AO32" s="64"/>
    </row>
    <row r="33" spans="18:41" ht="13.5">
      <c r="R33" s="96" t="s">
        <v>65</v>
      </c>
      <c r="S33" s="97"/>
      <c r="T33" s="6"/>
      <c r="U33" s="37" t="s">
        <v>20</v>
      </c>
      <c r="V33" s="21">
        <f>V24/V26</f>
        <v>9.539566694634567</v>
      </c>
      <c r="W33" s="39">
        <v>11.8</v>
      </c>
      <c r="X33" s="64" t="s">
        <v>237</v>
      </c>
      <c r="Z33" s="96" t="s">
        <v>65</v>
      </c>
      <c r="AA33" s="97"/>
      <c r="AB33" s="6"/>
      <c r="AC33" s="37" t="s">
        <v>113</v>
      </c>
      <c r="AD33" s="38">
        <f>AD24/AD26</f>
        <v>4.104531949670235</v>
      </c>
      <c r="AE33" s="6">
        <v>12.12</v>
      </c>
      <c r="AF33" s="64" t="s">
        <v>239</v>
      </c>
      <c r="AH33" s="5" t="s">
        <v>150</v>
      </c>
      <c r="AI33" s="6"/>
      <c r="AJ33" s="6"/>
      <c r="AK33" s="6"/>
      <c r="AL33" s="37" t="s">
        <v>28</v>
      </c>
      <c r="AM33" s="6">
        <f>EXP(0.5*LN(AM22/AM23)-1.96*AM32)</f>
        <v>1.890266199508945</v>
      </c>
      <c r="AN33" s="61">
        <v>16.16</v>
      </c>
      <c r="AO33" s="64"/>
    </row>
    <row r="34" spans="18:41" ht="15.75">
      <c r="R34" s="5" t="s">
        <v>78</v>
      </c>
      <c r="S34" s="6"/>
      <c r="T34" s="6"/>
      <c r="U34" s="37" t="s">
        <v>82</v>
      </c>
      <c r="V34" s="21">
        <f>1-NORMSDIST(ABS(V33))</f>
        <v>0</v>
      </c>
      <c r="W34" s="39">
        <v>11.9</v>
      </c>
      <c r="X34" s="64" t="s">
        <v>237</v>
      </c>
      <c r="Z34" s="5" t="s">
        <v>78</v>
      </c>
      <c r="AA34" s="6"/>
      <c r="AB34" s="6"/>
      <c r="AC34" s="37" t="s">
        <v>114</v>
      </c>
      <c r="AD34" s="38">
        <f>1-NORMSDIST(ABS(AD33))</f>
        <v>2.0256714049038393E-05</v>
      </c>
      <c r="AE34" s="6">
        <v>12.13</v>
      </c>
      <c r="AF34" s="64" t="s">
        <v>239</v>
      </c>
      <c r="AH34" s="5" t="s">
        <v>151</v>
      </c>
      <c r="AI34" s="6"/>
      <c r="AJ34" s="6"/>
      <c r="AK34" s="6"/>
      <c r="AL34" s="37" t="s">
        <v>29</v>
      </c>
      <c r="AM34" s="6">
        <f>EXP(0.5*LN(AM22/AM23)+1.96*AM32)</f>
        <v>3.8241886873959787</v>
      </c>
      <c r="AN34" s="61">
        <v>16.17</v>
      </c>
      <c r="AO34" s="64"/>
    </row>
    <row r="35" spans="18:41" ht="18" thickBot="1">
      <c r="R35" s="44" t="s">
        <v>79</v>
      </c>
      <c r="S35" s="58"/>
      <c r="T35" s="58"/>
      <c r="U35" s="59" t="s">
        <v>83</v>
      </c>
      <c r="V35" s="45">
        <f>2*(1-NORMSDIST(ABS(V33)))</f>
        <v>0</v>
      </c>
      <c r="W35" s="67">
        <v>11.1</v>
      </c>
      <c r="X35" s="72" t="s">
        <v>237</v>
      </c>
      <c r="Z35" s="44" t="s">
        <v>79</v>
      </c>
      <c r="AA35" s="58"/>
      <c r="AB35" s="58"/>
      <c r="AC35" s="59" t="s">
        <v>115</v>
      </c>
      <c r="AD35" s="66">
        <f>2*(1-NORMSDIST(ABS(AD33)))</f>
        <v>4.051342809807679E-05</v>
      </c>
      <c r="AE35" s="58">
        <v>12.14</v>
      </c>
      <c r="AF35" s="72" t="s">
        <v>239</v>
      </c>
      <c r="AH35" s="5" t="s">
        <v>152</v>
      </c>
      <c r="AI35" s="6"/>
      <c r="AJ35" s="6"/>
      <c r="AK35" s="6"/>
      <c r="AL35" s="37" t="s">
        <v>132</v>
      </c>
      <c r="AM35" s="6">
        <f>MAX(((AM23*(AM33^2-1))/AM25),0)</f>
        <v>0.033820895891005925</v>
      </c>
      <c r="AN35" s="61">
        <v>16.18</v>
      </c>
      <c r="AO35" s="64"/>
    </row>
    <row r="36" spans="23:41" ht="16.5">
      <c r="W36" s="30"/>
      <c r="X36" s="73"/>
      <c r="AH36" s="5" t="s">
        <v>153</v>
      </c>
      <c r="AI36" s="6"/>
      <c r="AJ36" s="6"/>
      <c r="AK36" s="6"/>
      <c r="AL36" s="37" t="s">
        <v>133</v>
      </c>
      <c r="AM36" s="6">
        <f>MAX(((AM23*(AM34^2-1))/AM25),0)</f>
        <v>0.179079294014594</v>
      </c>
      <c r="AN36" s="61">
        <v>16.19</v>
      </c>
      <c r="AO36" s="64"/>
    </row>
    <row r="37" spans="34:41" ht="13.5">
      <c r="AH37" s="5"/>
      <c r="AI37" s="6"/>
      <c r="AJ37" s="6"/>
      <c r="AK37" s="6"/>
      <c r="AL37" s="37"/>
      <c r="AM37" s="6"/>
      <c r="AN37" s="6"/>
      <c r="AO37" s="7"/>
    </row>
    <row r="38" spans="18:41" ht="13.5">
      <c r="R38" s="108" t="s">
        <v>106</v>
      </c>
      <c r="S38" s="108"/>
      <c r="T38" s="108"/>
      <c r="U38" s="108"/>
      <c r="V38" s="108"/>
      <c r="W38" s="108"/>
      <c r="X38" s="108"/>
      <c r="AH38" s="40" t="s">
        <v>250</v>
      </c>
      <c r="AI38" s="6"/>
      <c r="AJ38" s="6"/>
      <c r="AK38" s="6"/>
      <c r="AL38" s="37"/>
      <c r="AM38" s="6"/>
      <c r="AN38" s="6"/>
      <c r="AO38" s="7"/>
    </row>
    <row r="39" spans="34:41" ht="15" thickBot="1">
      <c r="AH39" s="5" t="s">
        <v>121</v>
      </c>
      <c r="AI39" s="6"/>
      <c r="AJ39" s="6"/>
      <c r="AK39" s="6"/>
      <c r="AL39" s="37" t="s">
        <v>25</v>
      </c>
      <c r="AM39" s="6">
        <f>SQRT(AM29)</f>
        <v>0.286130137180891</v>
      </c>
      <c r="AN39" s="6">
        <v>16.8</v>
      </c>
      <c r="AO39" s="64"/>
    </row>
    <row r="40" spans="18:41" ht="15.75">
      <c r="R40" s="68" t="s">
        <v>172</v>
      </c>
      <c r="S40" s="53"/>
      <c r="T40" s="53"/>
      <c r="U40" s="53"/>
      <c r="V40" s="53"/>
      <c r="W40" s="53"/>
      <c r="X40" s="69"/>
      <c r="Z40" s="68"/>
      <c r="AA40" s="53"/>
      <c r="AB40" s="53"/>
      <c r="AC40" s="53"/>
      <c r="AD40" s="53"/>
      <c r="AE40" s="53"/>
      <c r="AF40" s="69"/>
      <c r="AH40" s="5" t="s">
        <v>154</v>
      </c>
      <c r="AI40" s="6"/>
      <c r="AJ40" s="6"/>
      <c r="AK40" s="6"/>
      <c r="AL40" s="37" t="s">
        <v>134</v>
      </c>
      <c r="AM40" s="6">
        <f>SQRT(AM35)</f>
        <v>0.1839045836595867</v>
      </c>
      <c r="AN40" s="63" t="s">
        <v>178</v>
      </c>
      <c r="AO40" s="64"/>
    </row>
    <row r="41" spans="18:41" ht="15.75">
      <c r="R41" s="5" t="s">
        <v>171</v>
      </c>
      <c r="S41" s="6"/>
      <c r="T41" s="6"/>
      <c r="U41" s="6"/>
      <c r="V41" s="6"/>
      <c r="W41" s="6"/>
      <c r="X41" s="7"/>
      <c r="Z41" s="40" t="s">
        <v>80</v>
      </c>
      <c r="AA41" s="6"/>
      <c r="AB41" s="6"/>
      <c r="AC41" s="6"/>
      <c r="AD41" s="6"/>
      <c r="AE41" s="6"/>
      <c r="AF41" s="7"/>
      <c r="AH41" s="5" t="s">
        <v>155</v>
      </c>
      <c r="AI41" s="6"/>
      <c r="AJ41" s="6"/>
      <c r="AK41" s="6"/>
      <c r="AL41" s="37" t="s">
        <v>135</v>
      </c>
      <c r="AM41" s="6">
        <f>SQRT(AM36)</f>
        <v>0.42317761520972963</v>
      </c>
      <c r="AN41" s="63" t="s">
        <v>178</v>
      </c>
      <c r="AO41" s="64"/>
    </row>
    <row r="42" spans="18:41" ht="13.5">
      <c r="R42" s="5" t="s">
        <v>170</v>
      </c>
      <c r="S42" s="6"/>
      <c r="T42" s="6"/>
      <c r="U42" s="6"/>
      <c r="V42" s="6"/>
      <c r="W42" s="6"/>
      <c r="X42" s="7"/>
      <c r="Z42" s="94" t="s">
        <v>87</v>
      </c>
      <c r="AA42" s="95"/>
      <c r="AB42" s="95"/>
      <c r="AC42" s="95"/>
      <c r="AD42" s="95"/>
      <c r="AE42" s="95"/>
      <c r="AF42" s="7"/>
      <c r="AH42" s="5"/>
      <c r="AI42" s="6"/>
      <c r="AJ42" s="6"/>
      <c r="AK42" s="6"/>
      <c r="AL42" s="37"/>
      <c r="AM42" s="6"/>
      <c r="AN42" s="6"/>
      <c r="AO42" s="7"/>
    </row>
    <row r="43" spans="18:41" ht="15.75">
      <c r="R43" s="5"/>
      <c r="S43" s="6"/>
      <c r="T43" s="6"/>
      <c r="U43" s="6"/>
      <c r="V43" s="6"/>
      <c r="W43" s="6" t="s">
        <v>81</v>
      </c>
      <c r="X43" s="7" t="s">
        <v>176</v>
      </c>
      <c r="Z43" s="94"/>
      <c r="AA43" s="95"/>
      <c r="AB43" s="95"/>
      <c r="AC43" s="95"/>
      <c r="AD43" s="95"/>
      <c r="AE43" s="95"/>
      <c r="AF43" s="7"/>
      <c r="AH43" s="40" t="s">
        <v>156</v>
      </c>
      <c r="AI43" s="6"/>
      <c r="AJ43" s="6"/>
      <c r="AK43" s="6"/>
      <c r="AL43" s="37"/>
      <c r="AM43" s="6"/>
      <c r="AN43" s="6"/>
      <c r="AO43" s="7"/>
    </row>
    <row r="44" spans="18:41" ht="15.75">
      <c r="R44" s="40" t="s">
        <v>80</v>
      </c>
      <c r="S44" s="6"/>
      <c r="T44" s="6"/>
      <c r="U44" s="6"/>
      <c r="V44" s="6"/>
      <c r="W44" s="41"/>
      <c r="X44" s="42"/>
      <c r="Z44" s="5"/>
      <c r="AA44" s="6"/>
      <c r="AB44" s="6"/>
      <c r="AC44" s="6"/>
      <c r="AD44" s="6"/>
      <c r="AE44" s="6"/>
      <c r="AF44" s="7"/>
      <c r="AH44" s="56" t="s">
        <v>157</v>
      </c>
      <c r="AI44" s="6"/>
      <c r="AJ44" s="6"/>
      <c r="AK44" s="6"/>
      <c r="AL44" s="37" t="s">
        <v>136</v>
      </c>
      <c r="AM44" s="57">
        <f>((AM22-AM23)/AM22)</f>
        <v>0.8616632020573719</v>
      </c>
      <c r="AN44" s="6">
        <v>16.9</v>
      </c>
      <c r="AO44" s="64"/>
    </row>
    <row r="45" spans="18:41" ht="16.5">
      <c r="R45" s="96" t="s">
        <v>66</v>
      </c>
      <c r="S45" s="97"/>
      <c r="T45" s="6"/>
      <c r="U45" s="37" t="s">
        <v>21</v>
      </c>
      <c r="V45" s="38">
        <f>W15-(V15^2/U15)</f>
        <v>36.14367308164549</v>
      </c>
      <c r="W45" s="41">
        <v>12.3</v>
      </c>
      <c r="X45" s="43" t="s">
        <v>238</v>
      </c>
      <c r="Z45" s="5"/>
      <c r="AA45" s="6"/>
      <c r="AB45" s="6"/>
      <c r="AC45" s="6"/>
      <c r="AD45" s="6"/>
      <c r="AE45" s="6"/>
      <c r="AF45" s="7"/>
      <c r="AH45" s="5" t="s">
        <v>158</v>
      </c>
      <c r="AI45" s="6"/>
      <c r="AJ45" s="6"/>
      <c r="AK45" s="6"/>
      <c r="AL45" s="37" t="s">
        <v>137</v>
      </c>
      <c r="AM45" s="57">
        <f>MAX(((AM33^2-1)/AM33^2),0)</f>
        <v>0.7201314725512138</v>
      </c>
      <c r="AN45" s="6">
        <v>16.24</v>
      </c>
      <c r="AO45" s="64"/>
    </row>
    <row r="46" spans="18:41" ht="16.5">
      <c r="R46" s="96" t="s">
        <v>67</v>
      </c>
      <c r="S46" s="97"/>
      <c r="T46" s="6"/>
      <c r="U46" s="37" t="s">
        <v>22</v>
      </c>
      <c r="V46" s="38">
        <f>COUNT(S8:S13)-1</f>
        <v>5</v>
      </c>
      <c r="W46" s="41">
        <v>12.4</v>
      </c>
      <c r="X46" s="43" t="s">
        <v>238</v>
      </c>
      <c r="Z46" s="5"/>
      <c r="AA46" s="6"/>
      <c r="AB46" s="6"/>
      <c r="AC46" s="6"/>
      <c r="AD46" s="6"/>
      <c r="AE46" s="6"/>
      <c r="AF46" s="7"/>
      <c r="AH46" s="5" t="s">
        <v>159</v>
      </c>
      <c r="AI46" s="6"/>
      <c r="AJ46" s="6"/>
      <c r="AK46" s="6"/>
      <c r="AL46" s="37" t="s">
        <v>138</v>
      </c>
      <c r="AM46" s="57">
        <f>MAX(((AM34^2-1)/AM34^2),0)</f>
        <v>0.9316212157205799</v>
      </c>
      <c r="AN46" s="6">
        <v>16.25</v>
      </c>
      <c r="AO46" s="64"/>
    </row>
    <row r="47" spans="18:41" ht="13.5">
      <c r="R47" s="96" t="s">
        <v>23</v>
      </c>
      <c r="S47" s="97"/>
      <c r="T47" s="6"/>
      <c r="U47" s="37" t="s">
        <v>23</v>
      </c>
      <c r="V47" s="38">
        <f>U15-(X15/U15)</f>
        <v>380.40185471406494</v>
      </c>
      <c r="W47" s="41">
        <v>12.5</v>
      </c>
      <c r="X47" s="43" t="s">
        <v>238</v>
      </c>
      <c r="Z47" s="5"/>
      <c r="AA47" s="6"/>
      <c r="AB47" s="6"/>
      <c r="AC47" s="6"/>
      <c r="AD47" s="6"/>
      <c r="AE47" s="6"/>
      <c r="AF47" s="7"/>
      <c r="AH47" s="5"/>
      <c r="AI47" s="6"/>
      <c r="AJ47" s="6"/>
      <c r="AK47" s="6"/>
      <c r="AL47" s="37"/>
      <c r="AM47" s="6"/>
      <c r="AN47" s="6"/>
      <c r="AO47" s="7"/>
    </row>
    <row r="48" spans="18:41" ht="16.5" thickBot="1">
      <c r="R48" s="104" t="s">
        <v>125</v>
      </c>
      <c r="S48" s="105"/>
      <c r="T48" s="58"/>
      <c r="U48" s="59" t="s">
        <v>72</v>
      </c>
      <c r="V48" s="66">
        <f>MAX(((V45-V46)/V47),0)</f>
        <v>0.08187045540315549</v>
      </c>
      <c r="W48" s="70">
        <v>12.2</v>
      </c>
      <c r="X48" s="86" t="s">
        <v>238</v>
      </c>
      <c r="Z48" s="44"/>
      <c r="AA48" s="58"/>
      <c r="AB48" s="58"/>
      <c r="AC48" s="58"/>
      <c r="AD48" s="58"/>
      <c r="AE48" s="58"/>
      <c r="AF48" s="60"/>
      <c r="AH48" s="40" t="s">
        <v>251</v>
      </c>
      <c r="AI48" s="6"/>
      <c r="AJ48" s="6"/>
      <c r="AK48" s="6"/>
      <c r="AL48" s="37"/>
      <c r="AM48" s="6"/>
      <c r="AN48" s="6"/>
      <c r="AO48" s="7"/>
    </row>
    <row r="49" spans="34:41" ht="15.75">
      <c r="AH49" s="5" t="s">
        <v>118</v>
      </c>
      <c r="AI49" s="6"/>
      <c r="AJ49" s="6"/>
      <c r="AK49" s="6"/>
      <c r="AL49" s="37" t="s">
        <v>162</v>
      </c>
      <c r="AM49" s="6">
        <f>COUNT(AR8:AR13)-2</f>
        <v>4</v>
      </c>
      <c r="AN49" s="63" t="s">
        <v>180</v>
      </c>
      <c r="AO49" s="64"/>
    </row>
    <row r="50" spans="18:41" ht="15.75">
      <c r="R50" t="s">
        <v>243</v>
      </c>
      <c r="Z50" t="s">
        <v>243</v>
      </c>
      <c r="AH50" s="5" t="s">
        <v>160</v>
      </c>
      <c r="AI50" s="6"/>
      <c r="AJ50" s="6"/>
      <c r="AK50" s="6"/>
      <c r="AL50" s="37" t="s">
        <v>139</v>
      </c>
      <c r="AM50" s="6">
        <f>TINV(0.05,AM49)</f>
        <v>2.7764451051977934</v>
      </c>
      <c r="AN50" s="63" t="s">
        <v>179</v>
      </c>
      <c r="AO50" s="64"/>
    </row>
    <row r="51" spans="34:41" ht="13.5">
      <c r="AH51" s="5" t="s">
        <v>124</v>
      </c>
      <c r="AI51" s="6"/>
      <c r="AJ51" s="6"/>
      <c r="AK51" s="6"/>
      <c r="AL51" s="37" t="s">
        <v>30</v>
      </c>
      <c r="AM51" s="6">
        <f>AD24</f>
        <v>0.5327812043684094</v>
      </c>
      <c r="AN51" s="6">
        <v>12.7</v>
      </c>
      <c r="AO51" s="64"/>
    </row>
    <row r="52" spans="34:41" ht="15.75">
      <c r="AH52" s="5" t="s">
        <v>125</v>
      </c>
      <c r="AI52" s="6"/>
      <c r="AJ52" s="6"/>
      <c r="AK52" s="6"/>
      <c r="AL52" s="37" t="s">
        <v>129</v>
      </c>
      <c r="AM52" s="6">
        <f>AM29</f>
        <v>0.08187045540315549</v>
      </c>
      <c r="AN52" s="6">
        <v>16.5</v>
      </c>
      <c r="AO52" s="64"/>
    </row>
    <row r="53" spans="34:41" ht="15.75">
      <c r="AH53" s="5" t="s">
        <v>161</v>
      </c>
      <c r="AI53" s="6"/>
      <c r="AJ53" s="6"/>
      <c r="AK53" s="6"/>
      <c r="AL53" s="37" t="s">
        <v>140</v>
      </c>
      <c r="AM53" s="6">
        <f>AD25</f>
        <v>0.016848859522503444</v>
      </c>
      <c r="AN53" s="6">
        <v>12.8</v>
      </c>
      <c r="AO53" s="64"/>
    </row>
    <row r="54" spans="34:41" ht="15.75">
      <c r="AH54" s="5" t="s">
        <v>126</v>
      </c>
      <c r="AI54" s="6"/>
      <c r="AJ54" s="6"/>
      <c r="AK54" s="6"/>
      <c r="AL54" s="37" t="s">
        <v>141</v>
      </c>
      <c r="AM54" s="6">
        <f>AM51-AM50*SQRT(AM52+AM53)</f>
        <v>-0.3395675748023641</v>
      </c>
      <c r="AN54" s="6">
        <v>17.7</v>
      </c>
      <c r="AO54" s="64"/>
    </row>
    <row r="55" spans="34:41" ht="16.5" thickBot="1">
      <c r="AH55" s="44" t="s">
        <v>127</v>
      </c>
      <c r="AI55" s="58"/>
      <c r="AJ55" s="58"/>
      <c r="AK55" s="58"/>
      <c r="AL55" s="59" t="s">
        <v>142</v>
      </c>
      <c r="AM55" s="58">
        <f>AM51+AM50*SQRT(AM52+AM53)</f>
        <v>1.4051299835391828</v>
      </c>
      <c r="AN55" s="58">
        <v>17.8</v>
      </c>
      <c r="AO55" s="72"/>
    </row>
    <row r="58" ht="15" thickBot="1"/>
    <row r="59" spans="18:41" ht="13.5">
      <c r="R59" s="68" t="s">
        <v>190</v>
      </c>
      <c r="S59" s="53"/>
      <c r="T59" s="53"/>
      <c r="U59" s="53"/>
      <c r="V59" s="53"/>
      <c r="W59" s="53"/>
      <c r="X59" s="69"/>
      <c r="Z59" s="68" t="s">
        <v>190</v>
      </c>
      <c r="AA59" s="53"/>
      <c r="AB59" s="53"/>
      <c r="AC59" s="53"/>
      <c r="AD59" s="53"/>
      <c r="AE59" s="53"/>
      <c r="AF59" s="69"/>
      <c r="AH59" s="71" t="s">
        <v>252</v>
      </c>
      <c r="AI59" s="53"/>
      <c r="AJ59" s="53"/>
      <c r="AK59" s="53"/>
      <c r="AL59" s="53"/>
      <c r="AM59" s="53"/>
      <c r="AN59" s="53"/>
      <c r="AO59" s="69"/>
    </row>
    <row r="60" spans="18:41" ht="13.5">
      <c r="R60" s="5"/>
      <c r="S60" s="6"/>
      <c r="T60" s="6"/>
      <c r="U60" s="6"/>
      <c r="V60" s="6"/>
      <c r="W60" s="36" t="s">
        <v>81</v>
      </c>
      <c r="X60" s="65" t="s">
        <v>176</v>
      </c>
      <c r="Z60" s="5"/>
      <c r="AA60" s="6"/>
      <c r="AB60" s="6"/>
      <c r="AC60" s="6"/>
      <c r="AD60" s="6"/>
      <c r="AE60" s="36" t="s">
        <v>81</v>
      </c>
      <c r="AF60" s="65" t="s">
        <v>176</v>
      </c>
      <c r="AH60" s="5"/>
      <c r="AI60" s="6"/>
      <c r="AJ60" s="6"/>
      <c r="AK60" s="6"/>
      <c r="AL60" s="6"/>
      <c r="AM60" s="36" t="s">
        <v>81</v>
      </c>
      <c r="AN60" s="36" t="s">
        <v>176</v>
      </c>
      <c r="AO60" s="7"/>
    </row>
    <row r="61" spans="18:41" ht="13.5">
      <c r="R61" s="40" t="s">
        <v>75</v>
      </c>
      <c r="S61" s="6"/>
      <c r="T61" s="6"/>
      <c r="U61" s="6"/>
      <c r="V61" s="6"/>
      <c r="W61" s="6"/>
      <c r="X61" s="7"/>
      <c r="Z61" s="40" t="s">
        <v>75</v>
      </c>
      <c r="AA61" s="6"/>
      <c r="AB61" s="6"/>
      <c r="AC61" s="6"/>
      <c r="AD61" s="6"/>
      <c r="AE61" s="6"/>
      <c r="AF61" s="7"/>
      <c r="AH61" s="40" t="s">
        <v>75</v>
      </c>
      <c r="AI61" s="6"/>
      <c r="AJ61" s="6"/>
      <c r="AK61" s="6"/>
      <c r="AL61" s="6"/>
      <c r="AM61" s="6"/>
      <c r="AN61" s="6"/>
      <c r="AO61" s="7"/>
    </row>
    <row r="62" spans="18:41" ht="13.5">
      <c r="R62" s="96" t="s">
        <v>60</v>
      </c>
      <c r="S62" s="97"/>
      <c r="T62" s="6"/>
      <c r="U62" s="37" t="s">
        <v>19</v>
      </c>
      <c r="V62" s="6">
        <f>(EXP(2*V24)-1)/(EXP(2*V24)+1)</f>
        <v>0.35839144694100933</v>
      </c>
      <c r="W62" s="6"/>
      <c r="X62" s="64" t="s">
        <v>237</v>
      </c>
      <c r="Z62" s="96" t="s">
        <v>60</v>
      </c>
      <c r="AA62" s="97"/>
      <c r="AB62" s="6"/>
      <c r="AC62" s="37" t="s">
        <v>19</v>
      </c>
      <c r="AD62" s="6">
        <f>(EXP(2*AD24)-1)/(EXP(2*AD24)+1)</f>
        <v>0.4875041861439583</v>
      </c>
      <c r="AE62" s="6"/>
      <c r="AF62" s="64" t="s">
        <v>239</v>
      </c>
      <c r="AH62" s="96" t="s">
        <v>60</v>
      </c>
      <c r="AI62" s="97"/>
      <c r="AJ62" s="6"/>
      <c r="AK62" s="37" t="s">
        <v>19</v>
      </c>
      <c r="AL62" s="6">
        <f>(EXP(2*AM51)-1)/(EXP(2*AM51)+1)</f>
        <v>0.4875041861439583</v>
      </c>
      <c r="AM62" s="6"/>
      <c r="AN62" s="63"/>
      <c r="AO62" s="7"/>
    </row>
    <row r="63" spans="18:41" ht="13.5">
      <c r="R63" s="5"/>
      <c r="S63" s="6"/>
      <c r="T63" s="6"/>
      <c r="U63" s="6"/>
      <c r="V63" s="6"/>
      <c r="W63" s="6"/>
      <c r="X63" s="64"/>
      <c r="Z63" s="5"/>
      <c r="AA63" s="6"/>
      <c r="AB63" s="6"/>
      <c r="AC63" s="6"/>
      <c r="AD63" s="6"/>
      <c r="AE63" s="6"/>
      <c r="AF63" s="64"/>
      <c r="AH63" s="5"/>
      <c r="AI63" s="6"/>
      <c r="AJ63" s="6"/>
      <c r="AK63" s="6"/>
      <c r="AL63" s="6"/>
      <c r="AM63" s="6"/>
      <c r="AN63" s="63"/>
      <c r="AO63" s="7"/>
    </row>
    <row r="64" spans="18:41" ht="13.5">
      <c r="R64" s="40" t="s">
        <v>76</v>
      </c>
      <c r="S64" s="6"/>
      <c r="T64" s="6"/>
      <c r="U64" s="6"/>
      <c r="V64" s="6"/>
      <c r="W64" s="6"/>
      <c r="X64" s="64"/>
      <c r="Z64" s="40" t="s">
        <v>76</v>
      </c>
      <c r="AA64" s="6"/>
      <c r="AB64" s="6"/>
      <c r="AC64" s="6"/>
      <c r="AD64" s="6"/>
      <c r="AE64" s="6"/>
      <c r="AF64" s="64"/>
      <c r="AH64" s="40" t="s">
        <v>123</v>
      </c>
      <c r="AI64" s="6"/>
      <c r="AJ64" s="6"/>
      <c r="AK64" s="6"/>
      <c r="AL64" s="6"/>
      <c r="AM64" s="6"/>
      <c r="AN64" s="63"/>
      <c r="AO64" s="7"/>
    </row>
    <row r="65" spans="18:41" ht="15.75">
      <c r="R65" s="96" t="s">
        <v>63</v>
      </c>
      <c r="S65" s="97"/>
      <c r="T65" s="6"/>
      <c r="U65" s="37" t="s">
        <v>70</v>
      </c>
      <c r="V65" s="6">
        <f>(EXP(2*V29)-1)/(EXP(2*V29)+1)</f>
        <v>0.2894661701482774</v>
      </c>
      <c r="W65" s="6"/>
      <c r="X65" s="64" t="s">
        <v>237</v>
      </c>
      <c r="Z65" s="96" t="s">
        <v>63</v>
      </c>
      <c r="AA65" s="97"/>
      <c r="AB65" s="6"/>
      <c r="AC65" s="37" t="s">
        <v>70</v>
      </c>
      <c r="AD65" s="6">
        <f>(EXP(2*AD29)-1)/(EXP(2*AD29)+1)</f>
        <v>0.2713930450298837</v>
      </c>
      <c r="AE65" s="6"/>
      <c r="AF65" s="64" t="s">
        <v>239</v>
      </c>
      <c r="AH65" s="81" t="s">
        <v>63</v>
      </c>
      <c r="AI65" s="82"/>
      <c r="AJ65" s="6"/>
      <c r="AK65" s="37" t="s">
        <v>70</v>
      </c>
      <c r="AL65" s="6">
        <f>(EXP(2*AM54)-1)/(EXP(2*AM54)+1)</f>
        <v>-0.3270912888615386</v>
      </c>
      <c r="AM65" s="6"/>
      <c r="AN65" s="63"/>
      <c r="AO65" s="7"/>
    </row>
    <row r="66" spans="18:41" ht="16.5" thickBot="1">
      <c r="R66" s="104" t="s">
        <v>64</v>
      </c>
      <c r="S66" s="105"/>
      <c r="T66" s="58"/>
      <c r="U66" s="59" t="s">
        <v>71</v>
      </c>
      <c r="V66" s="58">
        <f>(EXP(2*V30)-1)/(EXP(2*V30)+1)</f>
        <v>0.4236192602989667</v>
      </c>
      <c r="W66" s="58"/>
      <c r="X66" s="64" t="s">
        <v>237</v>
      </c>
      <c r="Z66" s="104" t="s">
        <v>64</v>
      </c>
      <c r="AA66" s="105"/>
      <c r="AB66" s="58"/>
      <c r="AC66" s="59" t="s">
        <v>71</v>
      </c>
      <c r="AD66" s="58">
        <f>(EXP(2*AD30)-1)/(EXP(2*AD30)+1)</f>
        <v>0.6568172971791869</v>
      </c>
      <c r="AE66" s="58"/>
      <c r="AF66" s="72" t="s">
        <v>239</v>
      </c>
      <c r="AH66" s="83" t="s">
        <v>64</v>
      </c>
      <c r="AI66" s="84"/>
      <c r="AJ66" s="58"/>
      <c r="AK66" s="59" t="s">
        <v>71</v>
      </c>
      <c r="AL66" s="58">
        <f>(EXP(2*AM55)-1)/(EXP(2*AM55)+1)</f>
        <v>0.8864554836326922</v>
      </c>
      <c r="AM66" s="58"/>
      <c r="AN66" s="79"/>
      <c r="AO66" s="60"/>
    </row>
  </sheetData>
  <sheetProtection/>
  <mergeCells count="47">
    <mergeCell ref="AH17:AO17"/>
    <mergeCell ref="AH62:AI62"/>
    <mergeCell ref="Z62:AA62"/>
    <mergeCell ref="Z65:AA65"/>
    <mergeCell ref="Z42:AE43"/>
    <mergeCell ref="Z66:AA66"/>
    <mergeCell ref="AH1:AO1"/>
    <mergeCell ref="AQ1:AW1"/>
    <mergeCell ref="AH3:AO3"/>
    <mergeCell ref="AQ3:AW3"/>
    <mergeCell ref="Z25:AA25"/>
    <mergeCell ref="Z26:AA26"/>
    <mergeCell ref="Z29:AA29"/>
    <mergeCell ref="Z30:AA30"/>
    <mergeCell ref="Z33:AA33"/>
    <mergeCell ref="Z1:AF1"/>
    <mergeCell ref="Z3:AF3"/>
    <mergeCell ref="Z17:AF17"/>
    <mergeCell ref="Z18:AF18"/>
    <mergeCell ref="Z19:AF19"/>
    <mergeCell ref="Z24:AA24"/>
    <mergeCell ref="R46:S46"/>
    <mergeCell ref="R47:S47"/>
    <mergeCell ref="R48:S48"/>
    <mergeCell ref="R62:S62"/>
    <mergeCell ref="R65:S65"/>
    <mergeCell ref="R66:S66"/>
    <mergeCell ref="R26:S26"/>
    <mergeCell ref="R29:S29"/>
    <mergeCell ref="R30:S30"/>
    <mergeCell ref="R33:S33"/>
    <mergeCell ref="R38:X38"/>
    <mergeCell ref="R45:S45"/>
    <mergeCell ref="V5:X5"/>
    <mergeCell ref="R17:X17"/>
    <mergeCell ref="R18:X18"/>
    <mergeCell ref="R19:X19"/>
    <mergeCell ref="R24:S24"/>
    <mergeCell ref="R25:S25"/>
    <mergeCell ref="B1:H1"/>
    <mergeCell ref="B3:H3"/>
    <mergeCell ref="J1:L1"/>
    <mergeCell ref="J3:L3"/>
    <mergeCell ref="R1:X1"/>
    <mergeCell ref="R3:X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Biostat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Borenstein</dc:creator>
  <cp:keywords/>
  <dc:description/>
  <cp:lastModifiedBy>Michael Brannick</cp:lastModifiedBy>
  <dcterms:created xsi:type="dcterms:W3CDTF">2009-01-26T20:51:17Z</dcterms:created>
  <dcterms:modified xsi:type="dcterms:W3CDTF">2015-06-10T15:02:18Z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