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502"/>
  <workbookPr/>
  <mc:AlternateContent xmlns:mc="http://schemas.openxmlformats.org/markup-compatibility/2006">
    <mc:Choice Requires="x15">
      <x15ac:absPath xmlns:x15ac="http://schemas.microsoft.com/office/spreadsheetml/2010/11/ac" url="/Users/michaelbrannick/Desktop/"/>
    </mc:Choice>
  </mc:AlternateContent>
  <bookViews>
    <workbookView xWindow="4600" yWindow="1700" windowWidth="21000" windowHeight="12620" tabRatio="500"/>
  </bookViews>
  <sheets>
    <sheet name="Data" sheetId="1" r:id="rId1"/>
    <sheet name="Barebones" sheetId="2" r:id="rId2"/>
    <sheet name="RelOnly" sheetId="5" r:id="rId3"/>
    <sheet name="Case2" sheetId="3" r:id="rId4"/>
    <sheet name="Case4" sheetId="4" r:id="rId5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" i="4" l="1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" i="4"/>
  <c r="R3" i="3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" i="3"/>
  <c r="L37" i="5"/>
  <c r="L36" i="5"/>
  <c r="L35" i="5"/>
  <c r="L34" i="5"/>
  <c r="L33" i="5"/>
  <c r="L32" i="5"/>
  <c r="L31" i="5"/>
  <c r="L30" i="5"/>
  <c r="L29" i="5"/>
  <c r="L28" i="5"/>
  <c r="P25" i="5"/>
  <c r="P23" i="5"/>
  <c r="P3" i="5"/>
  <c r="P4" i="5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" i="5"/>
  <c r="O3" i="5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" i="5"/>
  <c r="N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" i="5"/>
  <c r="M25" i="5"/>
  <c r="M23" i="5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" i="5"/>
  <c r="K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" i="5"/>
  <c r="L2" i="5"/>
  <c r="L3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3" i="5"/>
  <c r="K23" i="5"/>
  <c r="L25" i="5"/>
  <c r="J25" i="5"/>
  <c r="H23" i="5"/>
  <c r="J23" i="5"/>
  <c r="F23" i="5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" i="5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" i="5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  <c r="G2" i="5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" i="2"/>
  <c r="M2" i="2"/>
  <c r="O2" i="4"/>
  <c r="P2" i="4"/>
  <c r="Q2" i="4"/>
  <c r="O3" i="4"/>
  <c r="P3" i="4"/>
  <c r="Q3" i="4"/>
  <c r="O4" i="4"/>
  <c r="P4" i="4"/>
  <c r="Q4" i="4"/>
  <c r="O5" i="4"/>
  <c r="P5" i="4"/>
  <c r="Q5" i="4"/>
  <c r="O6" i="4"/>
  <c r="P6" i="4"/>
  <c r="Q6" i="4"/>
  <c r="O7" i="4"/>
  <c r="P7" i="4"/>
  <c r="Q7" i="4"/>
  <c r="O8" i="4"/>
  <c r="P8" i="4"/>
  <c r="Q8" i="4"/>
  <c r="O9" i="4"/>
  <c r="P9" i="4"/>
  <c r="Q9" i="4"/>
  <c r="O10" i="4"/>
  <c r="P10" i="4"/>
  <c r="Q10" i="4"/>
  <c r="O11" i="4"/>
  <c r="P11" i="4"/>
  <c r="Q11" i="4"/>
  <c r="O12" i="4"/>
  <c r="P12" i="4"/>
  <c r="Q12" i="4"/>
  <c r="O13" i="4"/>
  <c r="P13" i="4"/>
  <c r="Q13" i="4"/>
  <c r="O14" i="4"/>
  <c r="P14" i="4"/>
  <c r="Q14" i="4"/>
  <c r="O15" i="4"/>
  <c r="P15" i="4"/>
  <c r="Q15" i="4"/>
  <c r="O16" i="4"/>
  <c r="P16" i="4"/>
  <c r="Q16" i="4"/>
  <c r="O17" i="4"/>
  <c r="P17" i="4"/>
  <c r="Q17" i="4"/>
  <c r="O18" i="4"/>
  <c r="P18" i="4"/>
  <c r="Q18" i="4"/>
  <c r="O19" i="4"/>
  <c r="P19" i="4"/>
  <c r="Q19" i="4"/>
  <c r="O20" i="4"/>
  <c r="P20" i="4"/>
  <c r="Q20" i="4"/>
  <c r="O21" i="4"/>
  <c r="P21" i="4"/>
  <c r="Q21" i="4"/>
  <c r="Q23" i="4"/>
  <c r="P23" i="4"/>
  <c r="Q25" i="4"/>
  <c r="J30" i="4"/>
  <c r="R2" i="4"/>
  <c r="R3" i="4"/>
  <c r="R4" i="4"/>
  <c r="R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3" i="4"/>
  <c r="R25" i="4"/>
  <c r="T2" i="4"/>
  <c r="V2" i="4"/>
  <c r="W2" i="4"/>
  <c r="T3" i="4"/>
  <c r="V3" i="4"/>
  <c r="W3" i="4"/>
  <c r="T4" i="4"/>
  <c r="V4" i="4"/>
  <c r="W4" i="4"/>
  <c r="T5" i="4"/>
  <c r="V5" i="4"/>
  <c r="W5" i="4"/>
  <c r="T6" i="4"/>
  <c r="V6" i="4"/>
  <c r="W6" i="4"/>
  <c r="T7" i="4"/>
  <c r="V7" i="4"/>
  <c r="W7" i="4"/>
  <c r="T8" i="4"/>
  <c r="V8" i="4"/>
  <c r="W8" i="4"/>
  <c r="T9" i="4"/>
  <c r="V9" i="4"/>
  <c r="W9" i="4"/>
  <c r="T10" i="4"/>
  <c r="V10" i="4"/>
  <c r="W10" i="4"/>
  <c r="T11" i="4"/>
  <c r="V11" i="4"/>
  <c r="W11" i="4"/>
  <c r="T12" i="4"/>
  <c r="V12" i="4"/>
  <c r="W12" i="4"/>
  <c r="T13" i="4"/>
  <c r="V13" i="4"/>
  <c r="W13" i="4"/>
  <c r="T14" i="4"/>
  <c r="V14" i="4"/>
  <c r="W14" i="4"/>
  <c r="T15" i="4"/>
  <c r="V15" i="4"/>
  <c r="W15" i="4"/>
  <c r="T16" i="4"/>
  <c r="V16" i="4"/>
  <c r="W16" i="4"/>
  <c r="T17" i="4"/>
  <c r="V17" i="4"/>
  <c r="W17" i="4"/>
  <c r="T18" i="4"/>
  <c r="V18" i="4"/>
  <c r="W18" i="4"/>
  <c r="T19" i="4"/>
  <c r="V19" i="4"/>
  <c r="W19" i="4"/>
  <c r="T20" i="4"/>
  <c r="V20" i="4"/>
  <c r="W20" i="4"/>
  <c r="T21" i="4"/>
  <c r="V21" i="4"/>
  <c r="W21" i="4"/>
  <c r="W23" i="4"/>
  <c r="W25" i="4"/>
  <c r="J31" i="4"/>
  <c r="J32" i="4"/>
  <c r="J37" i="4"/>
  <c r="J36" i="4"/>
  <c r="J33" i="4"/>
  <c r="J35" i="4"/>
  <c r="J34" i="4"/>
  <c r="J29" i="4"/>
  <c r="J28" i="4"/>
  <c r="U3" i="4"/>
  <c r="U4" i="4"/>
  <c r="U5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" i="4"/>
  <c r="S3" i="4"/>
  <c r="S4" i="4"/>
  <c r="S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" i="4"/>
  <c r="H25" i="4"/>
  <c r="H23" i="4"/>
  <c r="F23" i="4"/>
  <c r="G20" i="4"/>
  <c r="M20" i="4"/>
  <c r="J20" i="4"/>
  <c r="K20" i="4"/>
  <c r="L20" i="4"/>
  <c r="G21" i="4"/>
  <c r="M21" i="4"/>
  <c r="J21" i="4"/>
  <c r="K21" i="4"/>
  <c r="L21" i="4"/>
  <c r="G3" i="4"/>
  <c r="M3" i="4"/>
  <c r="J3" i="4"/>
  <c r="K3" i="4"/>
  <c r="L3" i="4"/>
  <c r="G4" i="4"/>
  <c r="M4" i="4"/>
  <c r="J4" i="4"/>
  <c r="K4" i="4"/>
  <c r="L4" i="4"/>
  <c r="G5" i="4"/>
  <c r="M5" i="4"/>
  <c r="J5" i="4"/>
  <c r="K5" i="4"/>
  <c r="L5" i="4"/>
  <c r="G6" i="4"/>
  <c r="M6" i="4"/>
  <c r="J6" i="4"/>
  <c r="K6" i="4"/>
  <c r="L6" i="4"/>
  <c r="G7" i="4"/>
  <c r="M7" i="4"/>
  <c r="J7" i="4"/>
  <c r="K7" i="4"/>
  <c r="L7" i="4"/>
  <c r="G8" i="4"/>
  <c r="M8" i="4"/>
  <c r="J8" i="4"/>
  <c r="K8" i="4"/>
  <c r="L8" i="4"/>
  <c r="G9" i="4"/>
  <c r="M9" i="4"/>
  <c r="J9" i="4"/>
  <c r="K9" i="4"/>
  <c r="L9" i="4"/>
  <c r="G10" i="4"/>
  <c r="M10" i="4"/>
  <c r="J10" i="4"/>
  <c r="K10" i="4"/>
  <c r="L10" i="4"/>
  <c r="G11" i="4"/>
  <c r="M11" i="4"/>
  <c r="J11" i="4"/>
  <c r="K11" i="4"/>
  <c r="L11" i="4"/>
  <c r="G12" i="4"/>
  <c r="M12" i="4"/>
  <c r="J12" i="4"/>
  <c r="K12" i="4"/>
  <c r="L12" i="4"/>
  <c r="G13" i="4"/>
  <c r="M13" i="4"/>
  <c r="J13" i="4"/>
  <c r="K13" i="4"/>
  <c r="L13" i="4"/>
  <c r="G14" i="4"/>
  <c r="M14" i="4"/>
  <c r="J14" i="4"/>
  <c r="K14" i="4"/>
  <c r="L14" i="4"/>
  <c r="G15" i="4"/>
  <c r="M15" i="4"/>
  <c r="J15" i="4"/>
  <c r="K15" i="4"/>
  <c r="L15" i="4"/>
  <c r="G16" i="4"/>
  <c r="M16" i="4"/>
  <c r="J16" i="4"/>
  <c r="K16" i="4"/>
  <c r="L16" i="4"/>
  <c r="G17" i="4"/>
  <c r="M17" i="4"/>
  <c r="J17" i="4"/>
  <c r="K17" i="4"/>
  <c r="L17" i="4"/>
  <c r="G18" i="4"/>
  <c r="M18" i="4"/>
  <c r="J18" i="4"/>
  <c r="K18" i="4"/>
  <c r="L18" i="4"/>
  <c r="G19" i="4"/>
  <c r="M19" i="4"/>
  <c r="J19" i="4"/>
  <c r="K19" i="4"/>
  <c r="L19" i="4"/>
  <c r="G2" i="4"/>
  <c r="M2" i="4"/>
  <c r="J2" i="4"/>
  <c r="K2" i="4"/>
  <c r="L2" i="4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2" i="4"/>
  <c r="J2" i="3"/>
  <c r="I2" i="3"/>
  <c r="M2" i="3"/>
  <c r="N2" i="3"/>
  <c r="J3" i="3"/>
  <c r="I3" i="3"/>
  <c r="M3" i="3"/>
  <c r="N3" i="3"/>
  <c r="J4" i="3"/>
  <c r="I4" i="3"/>
  <c r="M4" i="3"/>
  <c r="N4" i="3"/>
  <c r="J5" i="3"/>
  <c r="I5" i="3"/>
  <c r="M5" i="3"/>
  <c r="N5" i="3"/>
  <c r="J6" i="3"/>
  <c r="I6" i="3"/>
  <c r="M6" i="3"/>
  <c r="N6" i="3"/>
  <c r="J7" i="3"/>
  <c r="I7" i="3"/>
  <c r="M7" i="3"/>
  <c r="N7" i="3"/>
  <c r="J8" i="3"/>
  <c r="I8" i="3"/>
  <c r="M8" i="3"/>
  <c r="N8" i="3"/>
  <c r="J9" i="3"/>
  <c r="I9" i="3"/>
  <c r="M9" i="3"/>
  <c r="N9" i="3"/>
  <c r="J10" i="3"/>
  <c r="I10" i="3"/>
  <c r="M10" i="3"/>
  <c r="N10" i="3"/>
  <c r="J11" i="3"/>
  <c r="I11" i="3"/>
  <c r="M11" i="3"/>
  <c r="N11" i="3"/>
  <c r="J12" i="3"/>
  <c r="I12" i="3"/>
  <c r="M12" i="3"/>
  <c r="N12" i="3"/>
  <c r="J13" i="3"/>
  <c r="I13" i="3"/>
  <c r="M13" i="3"/>
  <c r="N13" i="3"/>
  <c r="J14" i="3"/>
  <c r="I14" i="3"/>
  <c r="M14" i="3"/>
  <c r="N14" i="3"/>
  <c r="J15" i="3"/>
  <c r="I15" i="3"/>
  <c r="M15" i="3"/>
  <c r="N15" i="3"/>
  <c r="J16" i="3"/>
  <c r="I16" i="3"/>
  <c r="M16" i="3"/>
  <c r="N16" i="3"/>
  <c r="J17" i="3"/>
  <c r="I17" i="3"/>
  <c r="M17" i="3"/>
  <c r="N17" i="3"/>
  <c r="J18" i="3"/>
  <c r="I18" i="3"/>
  <c r="M18" i="3"/>
  <c r="N18" i="3"/>
  <c r="J19" i="3"/>
  <c r="I19" i="3"/>
  <c r="M19" i="3"/>
  <c r="N19" i="3"/>
  <c r="J20" i="3"/>
  <c r="I20" i="3"/>
  <c r="M20" i="3"/>
  <c r="N20" i="3"/>
  <c r="J21" i="3"/>
  <c r="I21" i="3"/>
  <c r="M21" i="3"/>
  <c r="N21" i="3"/>
  <c r="N23" i="3"/>
  <c r="M23" i="3"/>
  <c r="N25" i="3"/>
  <c r="N31" i="3"/>
  <c r="O2" i="3"/>
  <c r="O3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3" i="3"/>
  <c r="O25" i="3"/>
  <c r="G2" i="3"/>
  <c r="H2" i="3"/>
  <c r="G3" i="3"/>
  <c r="H3" i="3"/>
  <c r="G4" i="3"/>
  <c r="H4" i="3"/>
  <c r="G5" i="3"/>
  <c r="H5" i="3"/>
  <c r="G6" i="3"/>
  <c r="H6" i="3"/>
  <c r="G7" i="3"/>
  <c r="H7" i="3"/>
  <c r="G8" i="3"/>
  <c r="H8" i="3"/>
  <c r="G9" i="3"/>
  <c r="H9" i="3"/>
  <c r="G10" i="3"/>
  <c r="H10" i="3"/>
  <c r="G11" i="3"/>
  <c r="H11" i="3"/>
  <c r="G12" i="3"/>
  <c r="H12" i="3"/>
  <c r="G13" i="3"/>
  <c r="H13" i="3"/>
  <c r="G14" i="3"/>
  <c r="H14" i="3"/>
  <c r="G15" i="3"/>
  <c r="H15" i="3"/>
  <c r="G16" i="3"/>
  <c r="H16" i="3"/>
  <c r="G17" i="3"/>
  <c r="H17" i="3"/>
  <c r="G18" i="3"/>
  <c r="H18" i="3"/>
  <c r="G19" i="3"/>
  <c r="H19" i="3"/>
  <c r="G20" i="3"/>
  <c r="H20" i="3"/>
  <c r="G21" i="3"/>
  <c r="H21" i="3"/>
  <c r="H23" i="3"/>
  <c r="F23" i="3"/>
  <c r="H24" i="3"/>
  <c r="P2" i="3"/>
  <c r="Q2" i="3"/>
  <c r="S2" i="3"/>
  <c r="T2" i="3"/>
  <c r="P3" i="3"/>
  <c r="Q3" i="3"/>
  <c r="S3" i="3"/>
  <c r="T3" i="3"/>
  <c r="P4" i="3"/>
  <c r="Q4" i="3"/>
  <c r="S4" i="3"/>
  <c r="T4" i="3"/>
  <c r="P5" i="3"/>
  <c r="Q5" i="3"/>
  <c r="S5" i="3"/>
  <c r="T5" i="3"/>
  <c r="P6" i="3"/>
  <c r="Q6" i="3"/>
  <c r="S6" i="3"/>
  <c r="T6" i="3"/>
  <c r="P7" i="3"/>
  <c r="Q7" i="3"/>
  <c r="S7" i="3"/>
  <c r="T7" i="3"/>
  <c r="P8" i="3"/>
  <c r="Q8" i="3"/>
  <c r="S8" i="3"/>
  <c r="T8" i="3"/>
  <c r="P9" i="3"/>
  <c r="Q9" i="3"/>
  <c r="S9" i="3"/>
  <c r="T9" i="3"/>
  <c r="P10" i="3"/>
  <c r="Q10" i="3"/>
  <c r="S10" i="3"/>
  <c r="T10" i="3"/>
  <c r="P11" i="3"/>
  <c r="Q11" i="3"/>
  <c r="S11" i="3"/>
  <c r="T11" i="3"/>
  <c r="P12" i="3"/>
  <c r="Q12" i="3"/>
  <c r="S12" i="3"/>
  <c r="T12" i="3"/>
  <c r="P13" i="3"/>
  <c r="Q13" i="3"/>
  <c r="S13" i="3"/>
  <c r="T13" i="3"/>
  <c r="P14" i="3"/>
  <c r="Q14" i="3"/>
  <c r="S14" i="3"/>
  <c r="T14" i="3"/>
  <c r="P15" i="3"/>
  <c r="Q15" i="3"/>
  <c r="S15" i="3"/>
  <c r="T15" i="3"/>
  <c r="P16" i="3"/>
  <c r="Q16" i="3"/>
  <c r="S16" i="3"/>
  <c r="T16" i="3"/>
  <c r="P17" i="3"/>
  <c r="Q17" i="3"/>
  <c r="S17" i="3"/>
  <c r="T17" i="3"/>
  <c r="P18" i="3"/>
  <c r="Q18" i="3"/>
  <c r="S18" i="3"/>
  <c r="T18" i="3"/>
  <c r="P19" i="3"/>
  <c r="Q19" i="3"/>
  <c r="S19" i="3"/>
  <c r="T19" i="3"/>
  <c r="P20" i="3"/>
  <c r="Q20" i="3"/>
  <c r="S20" i="3"/>
  <c r="T20" i="3"/>
  <c r="P21" i="3"/>
  <c r="Q21" i="3"/>
  <c r="S21" i="3"/>
  <c r="T21" i="3"/>
  <c r="T23" i="3"/>
  <c r="T25" i="3"/>
  <c r="N32" i="3"/>
  <c r="N33" i="3"/>
  <c r="N38" i="3"/>
  <c r="N37" i="3"/>
  <c r="N29" i="3"/>
  <c r="N34" i="3"/>
  <c r="N36" i="3"/>
  <c r="N35" i="3"/>
  <c r="N30" i="3"/>
  <c r="F27" i="2"/>
  <c r="G2" i="2"/>
  <c r="H2" i="2"/>
  <c r="G3" i="2"/>
  <c r="H3" i="2"/>
  <c r="G4" i="2"/>
  <c r="H4" i="2"/>
  <c r="G5" i="2"/>
  <c r="H5" i="2"/>
  <c r="G6" i="2"/>
  <c r="H6" i="2"/>
  <c r="G7" i="2"/>
  <c r="H7" i="2"/>
  <c r="G8" i="2"/>
  <c r="H8" i="2"/>
  <c r="G9" i="2"/>
  <c r="H9" i="2"/>
  <c r="G10" i="2"/>
  <c r="H10" i="2"/>
  <c r="G11" i="2"/>
  <c r="H11" i="2"/>
  <c r="G12" i="2"/>
  <c r="H12" i="2"/>
  <c r="G13" i="2"/>
  <c r="H13" i="2"/>
  <c r="G14" i="2"/>
  <c r="H14" i="2"/>
  <c r="G15" i="2"/>
  <c r="H15" i="2"/>
  <c r="G16" i="2"/>
  <c r="H16" i="2"/>
  <c r="G17" i="2"/>
  <c r="H17" i="2"/>
  <c r="G18" i="2"/>
  <c r="H18" i="2"/>
  <c r="G19" i="2"/>
  <c r="H19" i="2"/>
  <c r="G20" i="2"/>
  <c r="H20" i="2"/>
  <c r="G21" i="2"/>
  <c r="H21" i="2"/>
  <c r="H23" i="2"/>
  <c r="F23" i="2"/>
  <c r="H25" i="2"/>
  <c r="I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J23" i="2"/>
  <c r="J25" i="2"/>
  <c r="K2" i="2"/>
  <c r="L2" i="2"/>
  <c r="K3" i="2"/>
  <c r="L3" i="2"/>
  <c r="K4" i="2"/>
  <c r="L4" i="2"/>
  <c r="K5" i="2"/>
  <c r="L5" i="2"/>
  <c r="K6" i="2"/>
  <c r="L6" i="2"/>
  <c r="K7" i="2"/>
  <c r="L7" i="2"/>
  <c r="K8" i="2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L23" i="2"/>
  <c r="L25" i="2"/>
  <c r="F29" i="2"/>
  <c r="F30" i="2"/>
  <c r="F28" i="2"/>
  <c r="F35" i="2"/>
  <c r="F34" i="2"/>
  <c r="F31" i="2"/>
  <c r="F33" i="2"/>
  <c r="F32" i="2"/>
  <c r="G23" i="2"/>
</calcChain>
</file>

<file path=xl/sharedStrings.xml><?xml version="1.0" encoding="utf-8"?>
<sst xmlns="http://schemas.openxmlformats.org/spreadsheetml/2006/main" count="158" uniqueCount="74">
  <si>
    <t>ri</t>
  </si>
  <si>
    <t>rxxi</t>
  </si>
  <si>
    <t>ryyi</t>
  </si>
  <si>
    <t>uxi</t>
  </si>
  <si>
    <t>uyi</t>
  </si>
  <si>
    <t>ni</t>
  </si>
  <si>
    <t>BiasCorrect</t>
  </si>
  <si>
    <t>N*r</t>
  </si>
  <si>
    <t>N(r-rbar)^2</t>
  </si>
  <si>
    <t>ei</t>
  </si>
  <si>
    <t>N*ei</t>
  </si>
  <si>
    <t>rbar</t>
  </si>
  <si>
    <t>sum:</t>
  </si>
  <si>
    <t>wtV</t>
  </si>
  <si>
    <t>ave(e)</t>
  </si>
  <si>
    <t>V(rho)</t>
  </si>
  <si>
    <t>SD(rho)</t>
  </si>
  <si>
    <t>M_St_Err</t>
  </si>
  <si>
    <t>CI95Lo</t>
  </si>
  <si>
    <t>CI95Hi</t>
  </si>
  <si>
    <t>CR80Lo</t>
  </si>
  <si>
    <t>CR80Hi</t>
  </si>
  <si>
    <t>bias correction: ON</t>
  </si>
  <si>
    <t>k correction: OFF</t>
  </si>
  <si>
    <t>Confidence &amp; Credibility reference distribution:   Normal</t>
  </si>
  <si>
    <t>Values</t>
  </si>
  <si>
    <t>Estimates</t>
  </si>
  <si>
    <t>k</t>
  </si>
  <si>
    <t>rxxa</t>
  </si>
  <si>
    <t>Ux</t>
  </si>
  <si>
    <t>rc</t>
  </si>
  <si>
    <t>Schmidt says rxxi is UNDEFINED in the case of direct RR</t>
  </si>
  <si>
    <t>Acompound</t>
  </si>
  <si>
    <t>wi</t>
  </si>
  <si>
    <t>w*rc</t>
  </si>
  <si>
    <t>w(rc-rbarc)^2</t>
  </si>
  <si>
    <t>sums</t>
  </si>
  <si>
    <t>rbarC</t>
  </si>
  <si>
    <t>Var(eo)</t>
  </si>
  <si>
    <t>ri*ni</t>
  </si>
  <si>
    <t>rbaro</t>
  </si>
  <si>
    <t>eC</t>
  </si>
  <si>
    <t>erradj</t>
  </si>
  <si>
    <t>vei</t>
  </si>
  <si>
    <t>w*vei</t>
  </si>
  <si>
    <t>V(e)</t>
  </si>
  <si>
    <t>V(rc)</t>
  </si>
  <si>
    <t>Mrho</t>
  </si>
  <si>
    <t>from applicants or rxxi from incumbents with INDIRECT RR</t>
  </si>
  <si>
    <t>But we estimated it anyway; otherwise we need and estimate of rxxa</t>
  </si>
  <si>
    <t>uT</t>
  </si>
  <si>
    <t>UT</t>
  </si>
  <si>
    <t>rreldiss</t>
  </si>
  <si>
    <t>rC</t>
  </si>
  <si>
    <t>w</t>
  </si>
  <si>
    <t>w*rC</t>
  </si>
  <si>
    <t>ei (Vareo)</t>
  </si>
  <si>
    <t>Var(ve')</t>
  </si>
  <si>
    <t>correction</t>
  </si>
  <si>
    <t>ve</t>
  </si>
  <si>
    <t>w*ve</t>
  </si>
  <si>
    <t>V(rC)</t>
  </si>
  <si>
    <t>V(eC)</t>
  </si>
  <si>
    <t>dev</t>
  </si>
  <si>
    <t>Var(eC)</t>
  </si>
  <si>
    <t>w*Var(eC)</t>
  </si>
  <si>
    <t>These data were grenerated (simulated)</t>
  </si>
  <si>
    <t>Rho = .3, Sdrho = .15</t>
  </si>
  <si>
    <t>Distributions of rxx and ryy were sampled from Le &amp; Scmidt 2006</t>
  </si>
  <si>
    <t>The data conform to assumptions of Case IV (full mediation of S to P through T)</t>
  </si>
  <si>
    <t>RR(s) was set to .10 (top ten percent selected on S, the suitability requirement for indirect RR)</t>
  </si>
  <si>
    <t>RhoST was .8</t>
  </si>
  <si>
    <t xml:space="preserve">Sample size was a skewed random variable, uncorrelated with effect size in the population </t>
  </si>
  <si>
    <t>uy looks funny because this kind of range restriction has almost no effect on Y; results greater than 1 are sampling 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</si>
</sst>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6</xdr:row>
      <xdr:rowOff>76200</xdr:rowOff>
    </xdr:from>
    <xdr:to>
      <xdr:col>17</xdr:col>
      <xdr:colOff>444500</xdr:colOff>
      <xdr:row>8</xdr:row>
      <xdr:rowOff>76200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07700" y="1295400"/>
          <a:ext cx="3670300" cy="406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63500</xdr:rowOff>
    </xdr:from>
    <xdr:to>
      <xdr:col>4</xdr:col>
      <xdr:colOff>203200</xdr:colOff>
      <xdr:row>29</xdr:row>
      <xdr:rowOff>151152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37100"/>
          <a:ext cx="3505200" cy="13068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7</xdr:col>
      <xdr:colOff>571500</xdr:colOff>
      <xdr:row>55</xdr:row>
      <xdr:rowOff>63500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299200"/>
          <a:ext cx="6350000" cy="4940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177800</xdr:rowOff>
    </xdr:from>
    <xdr:to>
      <xdr:col>5</xdr:col>
      <xdr:colOff>114300</xdr:colOff>
      <xdr:row>28</xdr:row>
      <xdr:rowOff>190500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54600"/>
          <a:ext cx="4241800" cy="825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I10" sqref="I10"/>
    </sheetView>
  </sheetViews>
  <sheetFormatPr baseColWidth="10" defaultRowHeight="16" x14ac:dyDescent="0.2"/>
  <sheetData>
    <row r="1" spans="1:9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I1" t="s">
        <v>66</v>
      </c>
    </row>
    <row r="2" spans="1:9" x14ac:dyDescent="0.2">
      <c r="A2">
        <v>0.23</v>
      </c>
      <c r="B2">
        <v>0.41</v>
      </c>
      <c r="C2">
        <v>0.8</v>
      </c>
      <c r="D2">
        <v>0.69</v>
      </c>
      <c r="E2">
        <v>1</v>
      </c>
      <c r="F2">
        <v>64</v>
      </c>
    </row>
    <row r="3" spans="1:9" x14ac:dyDescent="0.2">
      <c r="A3">
        <v>0.17</v>
      </c>
      <c r="B3">
        <v>0.79</v>
      </c>
      <c r="C3">
        <v>0.47</v>
      </c>
      <c r="D3">
        <v>0.64</v>
      </c>
      <c r="E3">
        <v>0.92</v>
      </c>
      <c r="F3">
        <v>222</v>
      </c>
      <c r="I3" t="s">
        <v>67</v>
      </c>
    </row>
    <row r="4" spans="1:9" x14ac:dyDescent="0.2">
      <c r="A4">
        <v>0.17</v>
      </c>
      <c r="B4">
        <v>0.26</v>
      </c>
      <c r="C4">
        <v>0.47</v>
      </c>
      <c r="D4">
        <v>0.79</v>
      </c>
      <c r="E4">
        <v>0.94</v>
      </c>
      <c r="F4">
        <v>115</v>
      </c>
      <c r="I4" t="s">
        <v>68</v>
      </c>
    </row>
    <row r="5" spans="1:9" x14ac:dyDescent="0.2">
      <c r="A5">
        <v>0.2</v>
      </c>
      <c r="B5">
        <v>0.83</v>
      </c>
      <c r="C5">
        <v>0.32</v>
      </c>
      <c r="D5">
        <v>0.76</v>
      </c>
      <c r="E5">
        <v>0.87</v>
      </c>
      <c r="F5">
        <v>44</v>
      </c>
      <c r="I5" t="s">
        <v>69</v>
      </c>
    </row>
    <row r="6" spans="1:9" x14ac:dyDescent="0.2">
      <c r="A6">
        <v>0.12</v>
      </c>
      <c r="B6">
        <v>0.56000000000000005</v>
      </c>
      <c r="C6">
        <v>0.64</v>
      </c>
      <c r="D6">
        <v>0.78</v>
      </c>
      <c r="E6">
        <v>1.05</v>
      </c>
      <c r="F6">
        <v>214</v>
      </c>
      <c r="I6" t="s">
        <v>70</v>
      </c>
    </row>
    <row r="7" spans="1:9" x14ac:dyDescent="0.2">
      <c r="A7">
        <v>0.42</v>
      </c>
      <c r="B7">
        <v>0.86</v>
      </c>
      <c r="C7">
        <v>0.82</v>
      </c>
      <c r="D7">
        <v>0.77</v>
      </c>
      <c r="E7">
        <v>0.92</v>
      </c>
      <c r="F7">
        <v>66</v>
      </c>
      <c r="I7" t="s">
        <v>71</v>
      </c>
    </row>
    <row r="8" spans="1:9" x14ac:dyDescent="0.2">
      <c r="A8">
        <v>0.02</v>
      </c>
      <c r="B8">
        <v>0.61</v>
      </c>
      <c r="C8">
        <v>0.69</v>
      </c>
      <c r="D8">
        <v>0.74</v>
      </c>
      <c r="E8">
        <v>0.97</v>
      </c>
      <c r="F8">
        <v>202</v>
      </c>
      <c r="I8" t="s">
        <v>72</v>
      </c>
    </row>
    <row r="9" spans="1:9" x14ac:dyDescent="0.2">
      <c r="A9">
        <v>0.21</v>
      </c>
      <c r="B9">
        <v>0.76</v>
      </c>
      <c r="C9">
        <v>0.63</v>
      </c>
      <c r="D9">
        <v>0.75</v>
      </c>
      <c r="E9">
        <v>1.01</v>
      </c>
      <c r="F9">
        <v>92</v>
      </c>
      <c r="I9" t="s">
        <v>73</v>
      </c>
    </row>
    <row r="10" spans="1:9" x14ac:dyDescent="0.2">
      <c r="A10">
        <v>0.05</v>
      </c>
      <c r="B10">
        <v>0.69</v>
      </c>
      <c r="C10">
        <v>0.6</v>
      </c>
      <c r="D10">
        <v>0.78</v>
      </c>
      <c r="E10">
        <v>0.91</v>
      </c>
      <c r="F10">
        <v>204</v>
      </c>
    </row>
    <row r="11" spans="1:9" x14ac:dyDescent="0.2">
      <c r="A11">
        <v>7.0000000000000007E-2</v>
      </c>
      <c r="B11">
        <v>0.66</v>
      </c>
      <c r="C11">
        <v>0.52</v>
      </c>
      <c r="D11">
        <v>0.75</v>
      </c>
      <c r="E11">
        <v>1.01</v>
      </c>
      <c r="F11">
        <v>271</v>
      </c>
    </row>
    <row r="12" spans="1:9" x14ac:dyDescent="0.2">
      <c r="A12">
        <v>0.09</v>
      </c>
      <c r="B12">
        <v>0.66</v>
      </c>
      <c r="C12">
        <v>0.66</v>
      </c>
      <c r="D12">
        <v>0.75</v>
      </c>
      <c r="E12">
        <v>0.96</v>
      </c>
      <c r="F12">
        <v>221</v>
      </c>
    </row>
    <row r="13" spans="1:9" x14ac:dyDescent="0.2">
      <c r="A13">
        <v>0.27</v>
      </c>
      <c r="B13">
        <v>0.79</v>
      </c>
      <c r="C13">
        <v>0.64</v>
      </c>
      <c r="D13">
        <v>0.66</v>
      </c>
      <c r="E13">
        <v>1.01</v>
      </c>
      <c r="F13">
        <v>186</v>
      </c>
    </row>
    <row r="14" spans="1:9" x14ac:dyDescent="0.2">
      <c r="A14">
        <v>0.19</v>
      </c>
      <c r="B14">
        <v>0.64</v>
      </c>
      <c r="C14">
        <v>0.31</v>
      </c>
      <c r="D14">
        <v>0.75</v>
      </c>
      <c r="E14">
        <v>1.04</v>
      </c>
      <c r="F14">
        <v>504</v>
      </c>
    </row>
    <row r="15" spans="1:9" x14ac:dyDescent="0.2">
      <c r="A15">
        <v>0.18</v>
      </c>
      <c r="B15">
        <v>0.63</v>
      </c>
      <c r="C15">
        <v>0.46</v>
      </c>
      <c r="D15">
        <v>0.75</v>
      </c>
      <c r="E15">
        <v>1</v>
      </c>
      <c r="F15">
        <v>281</v>
      </c>
    </row>
    <row r="16" spans="1:9" x14ac:dyDescent="0.2">
      <c r="A16">
        <v>-0.05</v>
      </c>
      <c r="B16">
        <v>0.73</v>
      </c>
      <c r="C16">
        <v>0.4</v>
      </c>
      <c r="D16">
        <v>0.8</v>
      </c>
      <c r="E16">
        <v>1.04</v>
      </c>
      <c r="F16">
        <v>91</v>
      </c>
    </row>
    <row r="17" spans="1:6" x14ac:dyDescent="0.2">
      <c r="A17">
        <v>0.12</v>
      </c>
      <c r="B17">
        <v>0.82</v>
      </c>
      <c r="C17">
        <v>0.32</v>
      </c>
      <c r="D17">
        <v>0.76</v>
      </c>
      <c r="E17">
        <v>0.86</v>
      </c>
      <c r="F17">
        <v>70</v>
      </c>
    </row>
    <row r="18" spans="1:6" x14ac:dyDescent="0.2">
      <c r="A18">
        <v>0.02</v>
      </c>
      <c r="B18">
        <v>0.79</v>
      </c>
      <c r="C18">
        <v>0.76</v>
      </c>
      <c r="D18">
        <v>0.71</v>
      </c>
      <c r="E18">
        <v>1</v>
      </c>
      <c r="F18">
        <v>485</v>
      </c>
    </row>
    <row r="19" spans="1:6" x14ac:dyDescent="0.2">
      <c r="A19">
        <v>0.13</v>
      </c>
      <c r="B19">
        <v>0.71</v>
      </c>
      <c r="C19">
        <v>0.68</v>
      </c>
      <c r="D19">
        <v>0.8</v>
      </c>
      <c r="E19">
        <v>1.04</v>
      </c>
      <c r="F19">
        <v>159</v>
      </c>
    </row>
    <row r="20" spans="1:6" x14ac:dyDescent="0.2">
      <c r="A20">
        <v>0.14000000000000001</v>
      </c>
      <c r="B20">
        <v>0.7</v>
      </c>
      <c r="C20">
        <v>0.67</v>
      </c>
      <c r="D20">
        <v>0.75</v>
      </c>
      <c r="E20">
        <v>1.03</v>
      </c>
      <c r="F20">
        <v>103</v>
      </c>
    </row>
    <row r="21" spans="1:6" x14ac:dyDescent="0.2">
      <c r="A21">
        <v>0.23</v>
      </c>
      <c r="B21">
        <v>0.72</v>
      </c>
      <c r="C21">
        <v>0.72</v>
      </c>
      <c r="D21">
        <v>0.71</v>
      </c>
      <c r="E21">
        <v>0.98</v>
      </c>
      <c r="F21">
        <v>465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opLeftCell="B14" workbookViewId="0">
      <selection activeCell="H27" sqref="H27"/>
    </sheetView>
  </sheetViews>
  <sheetFormatPr baseColWidth="10" defaultRowHeight="16" x14ac:dyDescent="0.2"/>
  <sheetData>
    <row r="1" spans="1:14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11</v>
      </c>
      <c r="J1" t="s">
        <v>8</v>
      </c>
      <c r="K1" t="s">
        <v>9</v>
      </c>
      <c r="L1" t="s">
        <v>10</v>
      </c>
      <c r="M1" t="s">
        <v>63</v>
      </c>
    </row>
    <row r="2" spans="1:14" x14ac:dyDescent="0.2">
      <c r="A2">
        <v>0.23</v>
      </c>
      <c r="B2">
        <v>0.41</v>
      </c>
      <c r="C2">
        <v>0.8</v>
      </c>
      <c r="D2">
        <v>0.69</v>
      </c>
      <c r="E2">
        <v>1</v>
      </c>
      <c r="F2">
        <v>64</v>
      </c>
      <c r="G2">
        <f>A2/((2*F2-2)/(2*F2-1))</f>
        <v>0.23182539682539682</v>
      </c>
      <c r="H2">
        <f>F2*G2</f>
        <v>14.836825396825397</v>
      </c>
      <c r="I2">
        <f>$H$25</f>
        <v>0.13803489839311225</v>
      </c>
      <c r="J2">
        <f>F2*(G2-I2)^2</f>
        <v>0.562986086155288</v>
      </c>
      <c r="K2">
        <f>((1-I2^2)^2)/(F2-1)</f>
        <v>1.5273901183942078E-2</v>
      </c>
      <c r="L2">
        <f>F2*K2</f>
        <v>0.97752967577229299</v>
      </c>
      <c r="M2">
        <f>J2</f>
        <v>0.562986086155288</v>
      </c>
      <c r="N2" t="s">
        <v>22</v>
      </c>
    </row>
    <row r="3" spans="1:14" x14ac:dyDescent="0.2">
      <c r="A3">
        <v>0.17</v>
      </c>
      <c r="B3">
        <v>0.79</v>
      </c>
      <c r="C3">
        <v>0.47</v>
      </c>
      <c r="D3">
        <v>0.64</v>
      </c>
      <c r="E3">
        <v>0.92</v>
      </c>
      <c r="F3">
        <v>222</v>
      </c>
      <c r="G3">
        <f t="shared" ref="G3:G21" si="0">A3/((2*F3-2)/(2*F3-1))</f>
        <v>0.17038461538461538</v>
      </c>
      <c r="H3">
        <f t="shared" ref="H3:H21" si="1">F3*G3</f>
        <v>37.825384615384614</v>
      </c>
      <c r="I3">
        <f t="shared" ref="I3:I21" si="2">$H$25</f>
        <v>0.13803489839311225</v>
      </c>
      <c r="J3">
        <f t="shared" ref="J3:J21" si="3">F3*(G3-I3)^2</f>
        <v>0.23232393005353691</v>
      </c>
      <c r="K3">
        <f t="shared" ref="K3:K21" si="4">((1-I3^2)^2)/(F3-1)</f>
        <v>4.3540985275490988E-3</v>
      </c>
      <c r="L3">
        <f t="shared" ref="L3:L21" si="5">F3*K3</f>
        <v>0.96660987311589996</v>
      </c>
      <c r="N3" t="s">
        <v>23</v>
      </c>
    </row>
    <row r="4" spans="1:14" x14ac:dyDescent="0.2">
      <c r="A4">
        <v>0.17</v>
      </c>
      <c r="B4">
        <v>0.26</v>
      </c>
      <c r="C4">
        <v>0.47</v>
      </c>
      <c r="D4">
        <v>0.79</v>
      </c>
      <c r="E4">
        <v>0.94</v>
      </c>
      <c r="F4">
        <v>115</v>
      </c>
      <c r="G4">
        <f t="shared" si="0"/>
        <v>0.17074561403508773</v>
      </c>
      <c r="H4">
        <f t="shared" si="1"/>
        <v>19.635745614035088</v>
      </c>
      <c r="I4">
        <f t="shared" si="2"/>
        <v>0.13803489839311225</v>
      </c>
      <c r="J4">
        <f t="shared" si="3"/>
        <v>0.12304895554817059</v>
      </c>
      <c r="K4">
        <f t="shared" si="4"/>
        <v>8.4408401279679902E-3</v>
      </c>
      <c r="L4">
        <f t="shared" si="5"/>
        <v>0.97069661471631885</v>
      </c>
      <c r="N4" t="s">
        <v>24</v>
      </c>
    </row>
    <row r="5" spans="1:14" x14ac:dyDescent="0.2">
      <c r="A5">
        <v>0.2</v>
      </c>
      <c r="B5">
        <v>0.83</v>
      </c>
      <c r="C5">
        <v>0.32</v>
      </c>
      <c r="D5">
        <v>0.76</v>
      </c>
      <c r="E5">
        <v>0.87</v>
      </c>
      <c r="F5">
        <v>44</v>
      </c>
      <c r="G5">
        <f t="shared" si="0"/>
        <v>0.20232558139534884</v>
      </c>
      <c r="H5">
        <f t="shared" si="1"/>
        <v>8.902325581395349</v>
      </c>
      <c r="I5">
        <f t="shared" si="2"/>
        <v>0.13803489839311225</v>
      </c>
      <c r="J5">
        <f t="shared" si="3"/>
        <v>0.18186484451933921</v>
      </c>
      <c r="K5">
        <f t="shared" si="4"/>
        <v>2.2378041269496531E-2</v>
      </c>
      <c r="L5">
        <f t="shared" si="5"/>
        <v>0.98463381585784737</v>
      </c>
    </row>
    <row r="6" spans="1:14" x14ac:dyDescent="0.2">
      <c r="A6">
        <v>0.12</v>
      </c>
      <c r="B6">
        <v>0.56000000000000005</v>
      </c>
      <c r="C6">
        <v>0.64</v>
      </c>
      <c r="D6">
        <v>0.78</v>
      </c>
      <c r="E6">
        <v>1.05</v>
      </c>
      <c r="F6">
        <v>214</v>
      </c>
      <c r="G6">
        <f t="shared" si="0"/>
        <v>0.12028169014084507</v>
      </c>
      <c r="H6">
        <f t="shared" si="1"/>
        <v>25.740281690140844</v>
      </c>
      <c r="I6">
        <f t="shared" si="2"/>
        <v>0.13803489839311225</v>
      </c>
      <c r="J6">
        <f t="shared" si="3"/>
        <v>6.7447750295150696E-2</v>
      </c>
      <c r="K6">
        <f t="shared" si="4"/>
        <v>4.5176327445462482E-3</v>
      </c>
      <c r="L6">
        <f t="shared" si="5"/>
        <v>0.96677340733289707</v>
      </c>
    </row>
    <row r="7" spans="1:14" x14ac:dyDescent="0.2">
      <c r="A7">
        <v>0.42</v>
      </c>
      <c r="B7">
        <v>0.86</v>
      </c>
      <c r="C7">
        <v>0.82</v>
      </c>
      <c r="D7">
        <v>0.77</v>
      </c>
      <c r="E7">
        <v>0.92</v>
      </c>
      <c r="F7">
        <v>66</v>
      </c>
      <c r="G7">
        <f t="shared" si="0"/>
        <v>0.42323076923076924</v>
      </c>
      <c r="H7">
        <f t="shared" si="1"/>
        <v>27.933230769230772</v>
      </c>
      <c r="I7">
        <f t="shared" si="2"/>
        <v>0.13803489839311225</v>
      </c>
      <c r="J7">
        <f t="shared" si="3"/>
        <v>5.3682211930280674</v>
      </c>
      <c r="K7">
        <f t="shared" si="4"/>
        <v>1.4803934993666936E-2</v>
      </c>
      <c r="L7">
        <f t="shared" si="5"/>
        <v>0.97705970958201782</v>
      </c>
    </row>
    <row r="8" spans="1:14" x14ac:dyDescent="0.2">
      <c r="A8">
        <v>0.02</v>
      </c>
      <c r="B8">
        <v>0.61</v>
      </c>
      <c r="C8">
        <v>0.69</v>
      </c>
      <c r="D8">
        <v>0.74</v>
      </c>
      <c r="E8">
        <v>0.97</v>
      </c>
      <c r="F8">
        <v>202</v>
      </c>
      <c r="G8">
        <f t="shared" si="0"/>
        <v>2.0049751243781097E-2</v>
      </c>
      <c r="H8">
        <f t="shared" si="1"/>
        <v>4.0500497512437814</v>
      </c>
      <c r="I8">
        <f t="shared" si="2"/>
        <v>0.13803489839311225</v>
      </c>
      <c r="J8">
        <f t="shared" si="3"/>
        <v>2.8119399794655635</v>
      </c>
      <c r="K8">
        <f t="shared" si="4"/>
        <v>4.7873421621310985E-3</v>
      </c>
      <c r="L8">
        <f t="shared" si="5"/>
        <v>0.96704311675048193</v>
      </c>
    </row>
    <row r="9" spans="1:14" x14ac:dyDescent="0.2">
      <c r="A9">
        <v>0.21</v>
      </c>
      <c r="B9">
        <v>0.76</v>
      </c>
      <c r="C9">
        <v>0.63</v>
      </c>
      <c r="D9">
        <v>0.75</v>
      </c>
      <c r="E9">
        <v>1.01</v>
      </c>
      <c r="F9">
        <v>92</v>
      </c>
      <c r="G9">
        <f t="shared" si="0"/>
        <v>0.21115384615384614</v>
      </c>
      <c r="H9">
        <f t="shared" si="1"/>
        <v>19.426153846153845</v>
      </c>
      <c r="I9">
        <f t="shared" si="2"/>
        <v>0.13803489839311225</v>
      </c>
      <c r="J9">
        <f t="shared" si="3"/>
        <v>0.49186700799059757</v>
      </c>
      <c r="K9">
        <f t="shared" si="4"/>
        <v>1.0574239281190669E-2</v>
      </c>
      <c r="L9">
        <f t="shared" si="5"/>
        <v>0.97283001386954149</v>
      </c>
    </row>
    <row r="10" spans="1:14" x14ac:dyDescent="0.2">
      <c r="A10">
        <v>0.05</v>
      </c>
      <c r="B10">
        <v>0.69</v>
      </c>
      <c r="C10">
        <v>0.6</v>
      </c>
      <c r="D10">
        <v>0.78</v>
      </c>
      <c r="E10">
        <v>0.91</v>
      </c>
      <c r="F10">
        <v>204</v>
      </c>
      <c r="G10">
        <f t="shared" si="0"/>
        <v>5.012315270935961E-2</v>
      </c>
      <c r="H10">
        <f t="shared" si="1"/>
        <v>10.22512315270936</v>
      </c>
      <c r="I10">
        <f t="shared" si="2"/>
        <v>0.13803489839311225</v>
      </c>
      <c r="J10">
        <f t="shared" si="3"/>
        <v>1.5766089059496198</v>
      </c>
      <c r="K10">
        <f t="shared" si="4"/>
        <v>4.7401762294992655E-3</v>
      </c>
      <c r="L10">
        <f t="shared" si="5"/>
        <v>0.96699595081785017</v>
      </c>
    </row>
    <row r="11" spans="1:14" x14ac:dyDescent="0.2">
      <c r="A11">
        <v>7.0000000000000007E-2</v>
      </c>
      <c r="B11">
        <v>0.66</v>
      </c>
      <c r="C11">
        <v>0.52</v>
      </c>
      <c r="D11">
        <v>0.75</v>
      </c>
      <c r="E11">
        <v>1.01</v>
      </c>
      <c r="F11">
        <v>271</v>
      </c>
      <c r="G11">
        <f t="shared" si="0"/>
        <v>7.0129629629629639E-2</v>
      </c>
      <c r="H11">
        <f t="shared" si="1"/>
        <v>19.005129629629632</v>
      </c>
      <c r="I11">
        <f t="shared" si="2"/>
        <v>0.13803489839311225</v>
      </c>
      <c r="J11">
        <f t="shared" si="3"/>
        <v>1.2496150175028591</v>
      </c>
      <c r="K11">
        <f t="shared" si="4"/>
        <v>3.5639102762531514E-3</v>
      </c>
      <c r="L11">
        <f t="shared" si="5"/>
        <v>0.96581968486460401</v>
      </c>
    </row>
    <row r="12" spans="1:14" x14ac:dyDescent="0.2">
      <c r="A12">
        <v>0.09</v>
      </c>
      <c r="B12">
        <v>0.66</v>
      </c>
      <c r="C12">
        <v>0.66</v>
      </c>
      <c r="D12">
        <v>0.75</v>
      </c>
      <c r="E12">
        <v>0.96</v>
      </c>
      <c r="F12">
        <v>221</v>
      </c>
      <c r="G12">
        <f t="shared" si="0"/>
        <v>9.0204545454545454E-2</v>
      </c>
      <c r="H12">
        <f t="shared" si="1"/>
        <v>19.935204545454546</v>
      </c>
      <c r="I12">
        <f t="shared" si="2"/>
        <v>0.13803489839311225</v>
      </c>
      <c r="J12">
        <f t="shared" si="3"/>
        <v>0.50559112835235831</v>
      </c>
      <c r="K12">
        <f t="shared" si="4"/>
        <v>4.3738898844925041E-3</v>
      </c>
      <c r="L12">
        <f t="shared" si="5"/>
        <v>0.96662966447284338</v>
      </c>
    </row>
    <row r="13" spans="1:14" x14ac:dyDescent="0.2">
      <c r="A13">
        <v>0.27</v>
      </c>
      <c r="B13">
        <v>0.79</v>
      </c>
      <c r="C13">
        <v>0.64</v>
      </c>
      <c r="D13">
        <v>0.66</v>
      </c>
      <c r="E13">
        <v>1.01</v>
      </c>
      <c r="F13">
        <v>186</v>
      </c>
      <c r="G13">
        <f t="shared" si="0"/>
        <v>0.27072972972972975</v>
      </c>
      <c r="H13">
        <f t="shared" si="1"/>
        <v>50.355729729729731</v>
      </c>
      <c r="I13">
        <f t="shared" si="2"/>
        <v>0.13803489839311225</v>
      </c>
      <c r="J13">
        <f t="shared" si="3"/>
        <v>3.2750727970023257</v>
      </c>
      <c r="K13">
        <f t="shared" si="4"/>
        <v>5.201382565342437E-3</v>
      </c>
      <c r="L13">
        <f t="shared" si="5"/>
        <v>0.96745715715369329</v>
      </c>
    </row>
    <row r="14" spans="1:14" x14ac:dyDescent="0.2">
      <c r="A14">
        <v>0.19</v>
      </c>
      <c r="B14">
        <v>0.64</v>
      </c>
      <c r="C14">
        <v>0.31</v>
      </c>
      <c r="D14">
        <v>0.75</v>
      </c>
      <c r="E14">
        <v>1.04</v>
      </c>
      <c r="F14">
        <v>504</v>
      </c>
      <c r="G14">
        <f t="shared" si="0"/>
        <v>0.19018886679920477</v>
      </c>
      <c r="H14">
        <f t="shared" si="1"/>
        <v>95.85518886679921</v>
      </c>
      <c r="I14">
        <f t="shared" si="2"/>
        <v>0.13803489839311225</v>
      </c>
      <c r="J14">
        <f t="shared" si="3"/>
        <v>1.370898355933863</v>
      </c>
      <c r="K14">
        <f t="shared" si="4"/>
        <v>1.9130333490822084E-3</v>
      </c>
      <c r="L14">
        <f t="shared" si="5"/>
        <v>0.96416880793743309</v>
      </c>
    </row>
    <row r="15" spans="1:14" x14ac:dyDescent="0.2">
      <c r="A15">
        <v>0.18</v>
      </c>
      <c r="B15">
        <v>0.63</v>
      </c>
      <c r="C15">
        <v>0.46</v>
      </c>
      <c r="D15">
        <v>0.75</v>
      </c>
      <c r="E15">
        <v>1</v>
      </c>
      <c r="F15">
        <v>281</v>
      </c>
      <c r="G15">
        <f t="shared" si="0"/>
        <v>0.18032142857142858</v>
      </c>
      <c r="H15">
        <f t="shared" si="1"/>
        <v>50.670321428571427</v>
      </c>
      <c r="I15">
        <f t="shared" si="2"/>
        <v>0.13803489839311225</v>
      </c>
      <c r="J15">
        <f t="shared" si="3"/>
        <v>0.50247032830058569</v>
      </c>
      <c r="K15">
        <f t="shared" si="4"/>
        <v>3.4366277663869676E-3</v>
      </c>
      <c r="L15">
        <f t="shared" si="5"/>
        <v>0.96569240235473786</v>
      </c>
    </row>
    <row r="16" spans="1:14" x14ac:dyDescent="0.2">
      <c r="A16">
        <v>-0.05</v>
      </c>
      <c r="B16">
        <v>0.73</v>
      </c>
      <c r="C16">
        <v>0.4</v>
      </c>
      <c r="D16">
        <v>0.8</v>
      </c>
      <c r="E16">
        <v>1.04</v>
      </c>
      <c r="F16">
        <v>91</v>
      </c>
      <c r="G16">
        <f t="shared" si="0"/>
        <v>-5.0277777777777782E-2</v>
      </c>
      <c r="H16">
        <f t="shared" si="1"/>
        <v>-4.575277777777778</v>
      </c>
      <c r="I16">
        <f t="shared" si="2"/>
        <v>0.13803489839311225</v>
      </c>
      <c r="J16">
        <f t="shared" si="3"/>
        <v>3.2270114246044672</v>
      </c>
      <c r="K16">
        <f t="shared" si="4"/>
        <v>1.0691730828759453E-2</v>
      </c>
      <c r="L16">
        <f t="shared" si="5"/>
        <v>0.97294750541711028</v>
      </c>
    </row>
    <row r="17" spans="1:12" x14ac:dyDescent="0.2">
      <c r="A17">
        <v>0.12</v>
      </c>
      <c r="B17">
        <v>0.82</v>
      </c>
      <c r="C17">
        <v>0.32</v>
      </c>
      <c r="D17">
        <v>0.76</v>
      </c>
      <c r="E17">
        <v>0.86</v>
      </c>
      <c r="F17">
        <v>70</v>
      </c>
      <c r="G17">
        <f t="shared" si="0"/>
        <v>0.1208695652173913</v>
      </c>
      <c r="H17">
        <f t="shared" si="1"/>
        <v>8.46086956521739</v>
      </c>
      <c r="I17">
        <f t="shared" si="2"/>
        <v>0.13803489839311225</v>
      </c>
      <c r="J17">
        <f t="shared" si="3"/>
        <v>2.0625406412345455E-2</v>
      </c>
      <c r="K17">
        <f t="shared" si="4"/>
        <v>1.3945735863599288E-2</v>
      </c>
      <c r="L17">
        <f t="shared" si="5"/>
        <v>0.97620151045195014</v>
      </c>
    </row>
    <row r="18" spans="1:12" x14ac:dyDescent="0.2">
      <c r="A18">
        <v>0.02</v>
      </c>
      <c r="B18">
        <v>0.79</v>
      </c>
      <c r="C18">
        <v>0.76</v>
      </c>
      <c r="D18">
        <v>0.71</v>
      </c>
      <c r="E18">
        <v>1</v>
      </c>
      <c r="F18">
        <v>485</v>
      </c>
      <c r="G18">
        <f t="shared" si="0"/>
        <v>2.0020661157024795E-2</v>
      </c>
      <c r="H18">
        <f t="shared" si="1"/>
        <v>9.7100206611570261</v>
      </c>
      <c r="I18">
        <f t="shared" si="2"/>
        <v>0.13803489839311225</v>
      </c>
      <c r="J18">
        <f t="shared" si="3"/>
        <v>6.754769692351533</v>
      </c>
      <c r="K18">
        <f t="shared" si="4"/>
        <v>1.9881317656784111E-3</v>
      </c>
      <c r="L18">
        <f t="shared" si="5"/>
        <v>0.96424390635402935</v>
      </c>
    </row>
    <row r="19" spans="1:12" x14ac:dyDescent="0.2">
      <c r="A19">
        <v>0.13</v>
      </c>
      <c r="B19">
        <v>0.71</v>
      </c>
      <c r="C19">
        <v>0.68</v>
      </c>
      <c r="D19">
        <v>0.8</v>
      </c>
      <c r="E19">
        <v>1.04</v>
      </c>
      <c r="F19">
        <v>159</v>
      </c>
      <c r="G19">
        <f t="shared" si="0"/>
        <v>0.1304113924050633</v>
      </c>
      <c r="H19">
        <f t="shared" si="1"/>
        <v>20.735411392405066</v>
      </c>
      <c r="I19">
        <f t="shared" si="2"/>
        <v>0.13803489839311225</v>
      </c>
      <c r="J19">
        <f t="shared" si="3"/>
        <v>9.2407371244210956E-3</v>
      </c>
      <c r="K19">
        <f t="shared" si="4"/>
        <v>6.0902264214452587E-3</v>
      </c>
      <c r="L19">
        <f t="shared" si="5"/>
        <v>0.96834600100979618</v>
      </c>
    </row>
    <row r="20" spans="1:12" x14ac:dyDescent="0.2">
      <c r="A20">
        <v>0.14000000000000001</v>
      </c>
      <c r="B20">
        <v>0.7</v>
      </c>
      <c r="C20">
        <v>0.67</v>
      </c>
      <c r="D20">
        <v>0.75</v>
      </c>
      <c r="E20">
        <v>1.03</v>
      </c>
      <c r="F20">
        <v>103</v>
      </c>
      <c r="G20">
        <f t="shared" si="0"/>
        <v>0.14068627450980395</v>
      </c>
      <c r="H20">
        <f t="shared" si="1"/>
        <v>14.490686274509807</v>
      </c>
      <c r="I20">
        <f t="shared" si="2"/>
        <v>0.13803489839311225</v>
      </c>
      <c r="J20">
        <f t="shared" si="3"/>
        <v>7.2406891715280262E-4</v>
      </c>
      <c r="K20">
        <f t="shared" si="4"/>
        <v>9.4338801430230487E-3</v>
      </c>
      <c r="L20">
        <f t="shared" si="5"/>
        <v>0.97168965473137403</v>
      </c>
    </row>
    <row r="21" spans="1:12" x14ac:dyDescent="0.2">
      <c r="A21">
        <v>0.23</v>
      </c>
      <c r="B21">
        <v>0.72</v>
      </c>
      <c r="C21">
        <v>0.72</v>
      </c>
      <c r="D21">
        <v>0.71</v>
      </c>
      <c r="E21">
        <v>0.98</v>
      </c>
      <c r="F21">
        <v>465</v>
      </c>
      <c r="G21">
        <f t="shared" si="0"/>
        <v>0.23024784482758623</v>
      </c>
      <c r="H21">
        <f t="shared" si="1"/>
        <v>107.0652478448276</v>
      </c>
      <c r="I21">
        <f t="shared" si="2"/>
        <v>0.13803489839311225</v>
      </c>
      <c r="J21">
        <f t="shared" si="3"/>
        <v>3.9540007829091324</v>
      </c>
      <c r="K21">
        <f t="shared" si="4"/>
        <v>2.0738271004059287E-3</v>
      </c>
      <c r="L21">
        <f t="shared" si="5"/>
        <v>0.96432960168875681</v>
      </c>
    </row>
    <row r="23" spans="1:12" x14ac:dyDescent="0.2">
      <c r="E23" t="s">
        <v>12</v>
      </c>
      <c r="F23">
        <f>SUM(F2:F21)</f>
        <v>4059</v>
      </c>
      <c r="G23">
        <f t="shared" ref="G23:H23" si="6">SUM(G2:G21)</f>
        <v>2.9936525776426803</v>
      </c>
      <c r="H23">
        <f t="shared" si="6"/>
        <v>560.28365257764267</v>
      </c>
      <c r="J23">
        <f t="shared" ref="J23" si="7">SUM(J2:J21)</f>
        <v>32.28632839241638</v>
      </c>
      <c r="L23">
        <f t="shared" ref="L23" si="8">SUM(L2:L21)</f>
        <v>19.397698074251476</v>
      </c>
    </row>
    <row r="24" spans="1:12" x14ac:dyDescent="0.2">
      <c r="H24" t="s">
        <v>11</v>
      </c>
      <c r="J24" t="s">
        <v>13</v>
      </c>
      <c r="L24" t="s">
        <v>14</v>
      </c>
    </row>
    <row r="25" spans="1:12" x14ac:dyDescent="0.2">
      <c r="H25">
        <f>H23/F23</f>
        <v>0.13803489839311225</v>
      </c>
      <c r="J25">
        <f>J23/F23</f>
        <v>7.9542568101543185E-3</v>
      </c>
      <c r="L25">
        <f>L23/F23</f>
        <v>4.7789352240087402E-3</v>
      </c>
    </row>
    <row r="26" spans="1:12" x14ac:dyDescent="0.2">
      <c r="E26" t="s">
        <v>26</v>
      </c>
      <c r="F26" t="s">
        <v>25</v>
      </c>
    </row>
    <row r="27" spans="1:12" x14ac:dyDescent="0.2">
      <c r="E27" t="s">
        <v>27</v>
      </c>
      <c r="F27">
        <f>COUNT(A2:A21)</f>
        <v>20</v>
      </c>
    </row>
    <row r="28" spans="1:12" x14ac:dyDescent="0.2">
      <c r="E28" s="1" t="s">
        <v>11</v>
      </c>
      <c r="F28" s="1">
        <f>H25</f>
        <v>0.13803489839311225</v>
      </c>
    </row>
    <row r="29" spans="1:12" x14ac:dyDescent="0.2">
      <c r="E29" s="1" t="s">
        <v>15</v>
      </c>
      <c r="F29" s="1">
        <f>J25-L25</f>
        <v>3.1753215861455783E-3</v>
      </c>
    </row>
    <row r="30" spans="1:12" x14ac:dyDescent="0.2">
      <c r="E30" s="1" t="s">
        <v>16</v>
      </c>
      <c r="F30" s="1">
        <f>SQRT(F29)</f>
        <v>5.634999189126453E-2</v>
      </c>
    </row>
    <row r="31" spans="1:12" x14ac:dyDescent="0.2">
      <c r="E31" s="1" t="s">
        <v>17</v>
      </c>
      <c r="F31" s="1">
        <f>SQRT(J25/COUNT(F2:F21))</f>
        <v>1.9942739042260869E-2</v>
      </c>
    </row>
    <row r="32" spans="1:12" x14ac:dyDescent="0.2">
      <c r="E32" s="1" t="s">
        <v>18</v>
      </c>
      <c r="F32" s="1">
        <f>F28-1.96*F31</f>
        <v>9.8947129870280953E-2</v>
      </c>
    </row>
    <row r="33" spans="5:6" x14ac:dyDescent="0.2">
      <c r="E33" s="1" t="s">
        <v>19</v>
      </c>
      <c r="F33" s="1">
        <f>F28+1.96*F31</f>
        <v>0.17712266691594356</v>
      </c>
    </row>
    <row r="34" spans="5:6" x14ac:dyDescent="0.2">
      <c r="E34" s="1" t="s">
        <v>20</v>
      </c>
      <c r="F34" s="1">
        <f>F28-1.28*F30</f>
        <v>6.590690877229366E-2</v>
      </c>
    </row>
    <row r="35" spans="5:6" x14ac:dyDescent="0.2">
      <c r="E35" s="1" t="s">
        <v>21</v>
      </c>
      <c r="F35" s="1">
        <f>F28+1.28*F30</f>
        <v>0.21016288801393085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opLeftCell="D13" workbookViewId="0">
      <selection activeCell="L36" sqref="L36"/>
    </sheetView>
  </sheetViews>
  <sheetFormatPr baseColWidth="10" defaultRowHeight="16" x14ac:dyDescent="0.2"/>
  <sheetData>
    <row r="1" spans="1:1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53</v>
      </c>
      <c r="I1" t="s">
        <v>32</v>
      </c>
      <c r="J1" t="s">
        <v>39</v>
      </c>
      <c r="K1" t="s">
        <v>33</v>
      </c>
      <c r="L1" t="s">
        <v>55</v>
      </c>
      <c r="M1" t="s">
        <v>35</v>
      </c>
      <c r="N1" t="s">
        <v>38</v>
      </c>
      <c r="O1" t="s">
        <v>64</v>
      </c>
      <c r="P1" t="s">
        <v>65</v>
      </c>
    </row>
    <row r="2" spans="1:16" x14ac:dyDescent="0.2">
      <c r="A2">
        <v>0.23</v>
      </c>
      <c r="B2">
        <v>0.41</v>
      </c>
      <c r="C2">
        <v>0.8</v>
      </c>
      <c r="D2">
        <v>0.69</v>
      </c>
      <c r="E2">
        <v>1</v>
      </c>
      <c r="F2">
        <v>64</v>
      </c>
      <c r="G2">
        <f>A2/((2*F2-2)/(2*F2-1))</f>
        <v>0.23182539682539682</v>
      </c>
      <c r="H2">
        <f>G2/SQRT(B2*C2)</f>
        <v>0.40478470117915433</v>
      </c>
      <c r="I2">
        <f>G2/H2</f>
        <v>0.57271284253105414</v>
      </c>
      <c r="J2">
        <f>F2*G2</f>
        <v>14.836825396825397</v>
      </c>
      <c r="K2">
        <f>F2*I2^2</f>
        <v>20.992000000000001</v>
      </c>
      <c r="L2">
        <f>H2*K2</f>
        <v>8.4972404471528087</v>
      </c>
      <c r="M2">
        <f>K2*(H2-$L$25)^2</f>
        <v>0.78412894461274973</v>
      </c>
      <c r="N2">
        <f>(1-$J$25^2)^2/(F2-1)</f>
        <v>1.5273901183942078E-2</v>
      </c>
      <c r="O2">
        <f>N2/I2^2</f>
        <v>4.6566771902262431E-2</v>
      </c>
      <c r="P2">
        <f>K2*O2</f>
        <v>0.97752967577229299</v>
      </c>
    </row>
    <row r="3" spans="1:16" x14ac:dyDescent="0.2">
      <c r="A3">
        <v>0.17</v>
      </c>
      <c r="B3">
        <v>0.79</v>
      </c>
      <c r="C3">
        <v>0.47</v>
      </c>
      <c r="D3">
        <v>0.64</v>
      </c>
      <c r="E3">
        <v>0.92</v>
      </c>
      <c r="F3">
        <v>222</v>
      </c>
      <c r="G3">
        <f t="shared" ref="G3:G21" si="0">A3/((2*F3-2)/(2*F3-1))</f>
        <v>0.17038461538461538</v>
      </c>
      <c r="H3">
        <f t="shared" ref="H3:H21" si="1">G3/SQRT(B3*C3)</f>
        <v>0.27961978898696388</v>
      </c>
      <c r="I3">
        <f t="shared" ref="I3:I21" si="2">G3/H3</f>
        <v>0.60934390946328498</v>
      </c>
      <c r="J3">
        <f t="shared" ref="J3:J21" si="3">F3*G3</f>
        <v>37.825384615384614</v>
      </c>
      <c r="K3">
        <f t="shared" ref="K3:K21" si="4">F3*I3^2</f>
        <v>82.428600000000003</v>
      </c>
      <c r="L3">
        <f t="shared" ref="L3:L21" si="5">H3*K3</f>
        <v>23.048667738490852</v>
      </c>
      <c r="M3">
        <f t="shared" ref="M3:M21" si="6">K3*(H3-$L$25)^2</f>
        <v>0.382340749011717</v>
      </c>
      <c r="N3">
        <f t="shared" ref="N3:N21" si="7">(1-$J$25^2)^2/(F3-1)</f>
        <v>4.3540985275490988E-3</v>
      </c>
      <c r="O3">
        <f t="shared" ref="O3:O21" si="8">N3/I3^2</f>
        <v>1.1726632177616748E-2</v>
      </c>
      <c r="P3">
        <f t="shared" ref="P3:P21" si="9">K3*O3</f>
        <v>0.96660987311589996</v>
      </c>
    </row>
    <row r="4" spans="1:16" x14ac:dyDescent="0.2">
      <c r="A4">
        <v>0.17</v>
      </c>
      <c r="B4">
        <v>0.26</v>
      </c>
      <c r="C4">
        <v>0.47</v>
      </c>
      <c r="D4">
        <v>0.79</v>
      </c>
      <c r="E4">
        <v>0.94</v>
      </c>
      <c r="F4">
        <v>115</v>
      </c>
      <c r="G4">
        <f t="shared" si="0"/>
        <v>0.17074561403508773</v>
      </c>
      <c r="H4">
        <f t="shared" si="1"/>
        <v>0.48844307171482365</v>
      </c>
      <c r="I4">
        <f t="shared" si="2"/>
        <v>0.34957116585897069</v>
      </c>
      <c r="J4">
        <f t="shared" si="3"/>
        <v>19.635745614035088</v>
      </c>
      <c r="K4">
        <f t="shared" si="4"/>
        <v>14.052999999999999</v>
      </c>
      <c r="L4">
        <f t="shared" si="5"/>
        <v>6.8640904868084167</v>
      </c>
      <c r="M4">
        <f t="shared" si="6"/>
        <v>1.0777233163165065</v>
      </c>
      <c r="N4">
        <f t="shared" si="7"/>
        <v>8.4408401279679902E-3</v>
      </c>
      <c r="O4">
        <f t="shared" si="8"/>
        <v>6.907397813394428E-2</v>
      </c>
      <c r="P4">
        <f t="shared" si="9"/>
        <v>0.97069661471631896</v>
      </c>
    </row>
    <row r="5" spans="1:16" x14ac:dyDescent="0.2">
      <c r="A5">
        <v>0.2</v>
      </c>
      <c r="B5">
        <v>0.83</v>
      </c>
      <c r="C5">
        <v>0.32</v>
      </c>
      <c r="D5">
        <v>0.76</v>
      </c>
      <c r="E5">
        <v>0.87</v>
      </c>
      <c r="F5">
        <v>44</v>
      </c>
      <c r="G5">
        <f t="shared" si="0"/>
        <v>0.20232558139534884</v>
      </c>
      <c r="H5">
        <f t="shared" si="1"/>
        <v>0.3925877659095986</v>
      </c>
      <c r="I5">
        <f t="shared" si="2"/>
        <v>0.51536394906900507</v>
      </c>
      <c r="J5">
        <f t="shared" si="3"/>
        <v>8.902325581395349</v>
      </c>
      <c r="K5">
        <f t="shared" si="4"/>
        <v>11.686400000000003</v>
      </c>
      <c r="L5">
        <f t="shared" si="5"/>
        <v>4.5879376675259342</v>
      </c>
      <c r="M5">
        <f t="shared" si="6"/>
        <v>0.38317180743640711</v>
      </c>
      <c r="N5">
        <f t="shared" si="7"/>
        <v>2.2378041269496531E-2</v>
      </c>
      <c r="O5">
        <f t="shared" si="8"/>
        <v>8.425467345442969E-2</v>
      </c>
      <c r="P5">
        <f t="shared" si="9"/>
        <v>0.98463381585784737</v>
      </c>
    </row>
    <row r="6" spans="1:16" x14ac:dyDescent="0.2">
      <c r="A6">
        <v>0.12</v>
      </c>
      <c r="B6">
        <v>0.56000000000000005</v>
      </c>
      <c r="C6">
        <v>0.64</v>
      </c>
      <c r="D6">
        <v>0.78</v>
      </c>
      <c r="E6">
        <v>1.05</v>
      </c>
      <c r="F6">
        <v>214</v>
      </c>
      <c r="G6">
        <f t="shared" si="0"/>
        <v>0.12028169014084507</v>
      </c>
      <c r="H6">
        <f t="shared" si="1"/>
        <v>0.20091646178979788</v>
      </c>
      <c r="I6">
        <f t="shared" si="2"/>
        <v>0.59866518188383067</v>
      </c>
      <c r="J6">
        <f t="shared" si="3"/>
        <v>25.740281690140844</v>
      </c>
      <c r="K6">
        <f t="shared" si="4"/>
        <v>76.697600000000008</v>
      </c>
      <c r="L6">
        <f t="shared" si="5"/>
        <v>15.409810419769205</v>
      </c>
      <c r="M6">
        <f t="shared" si="6"/>
        <v>8.6131528717177819E-3</v>
      </c>
      <c r="N6">
        <f t="shared" si="7"/>
        <v>4.5176327445462482E-3</v>
      </c>
      <c r="O6">
        <f t="shared" si="8"/>
        <v>1.2605002077416985E-2</v>
      </c>
      <c r="P6">
        <f t="shared" si="9"/>
        <v>0.96677340733289707</v>
      </c>
    </row>
    <row r="7" spans="1:16" x14ac:dyDescent="0.2">
      <c r="A7">
        <v>0.42</v>
      </c>
      <c r="B7">
        <v>0.86</v>
      </c>
      <c r="C7">
        <v>0.82</v>
      </c>
      <c r="D7">
        <v>0.77</v>
      </c>
      <c r="E7">
        <v>0.92</v>
      </c>
      <c r="F7">
        <v>66</v>
      </c>
      <c r="G7">
        <f t="shared" si="0"/>
        <v>0.42323076923076924</v>
      </c>
      <c r="H7">
        <f t="shared" si="1"/>
        <v>0.50398902813056434</v>
      </c>
      <c r="I7">
        <f t="shared" si="2"/>
        <v>0.83976187100868049</v>
      </c>
      <c r="J7">
        <f t="shared" si="3"/>
        <v>27.933230769230772</v>
      </c>
      <c r="K7">
        <f t="shared" si="4"/>
        <v>46.543199999999985</v>
      </c>
      <c r="L7">
        <f t="shared" si="5"/>
        <v>23.457262134086474</v>
      </c>
      <c r="M7">
        <f t="shared" si="6"/>
        <v>3.9813915882350277</v>
      </c>
      <c r="N7">
        <f t="shared" si="7"/>
        <v>1.4803934993666936E-2</v>
      </c>
      <c r="O7">
        <f t="shared" si="8"/>
        <v>2.0992534023917955E-2</v>
      </c>
      <c r="P7">
        <f t="shared" si="9"/>
        <v>0.97705970958201782</v>
      </c>
    </row>
    <row r="8" spans="1:16" x14ac:dyDescent="0.2">
      <c r="A8">
        <v>0.02</v>
      </c>
      <c r="B8">
        <v>0.61</v>
      </c>
      <c r="C8">
        <v>0.69</v>
      </c>
      <c r="D8">
        <v>0.74</v>
      </c>
      <c r="E8">
        <v>0.97</v>
      </c>
      <c r="F8">
        <v>202</v>
      </c>
      <c r="G8">
        <f t="shared" si="0"/>
        <v>2.0049751243781097E-2</v>
      </c>
      <c r="H8">
        <f t="shared" si="1"/>
        <v>3.0904343750827071E-2</v>
      </c>
      <c r="I8">
        <f t="shared" si="2"/>
        <v>0.64876806333234371</v>
      </c>
      <c r="J8">
        <f t="shared" si="3"/>
        <v>4.0500497512437814</v>
      </c>
      <c r="K8">
        <f t="shared" si="4"/>
        <v>85.021799999999985</v>
      </c>
      <c r="L8">
        <f t="shared" si="5"/>
        <v>2.6275429335140688</v>
      </c>
      <c r="M8">
        <f t="shared" si="6"/>
        <v>2.7733870952046957</v>
      </c>
      <c r="N8">
        <f t="shared" si="7"/>
        <v>4.7873421621310985E-3</v>
      </c>
      <c r="O8">
        <f t="shared" si="8"/>
        <v>1.1374060732076738E-2</v>
      </c>
      <c r="P8">
        <f t="shared" si="9"/>
        <v>0.96704311675048182</v>
      </c>
    </row>
    <row r="9" spans="1:16" x14ac:dyDescent="0.2">
      <c r="A9">
        <v>0.21</v>
      </c>
      <c r="B9">
        <v>0.76</v>
      </c>
      <c r="C9">
        <v>0.63</v>
      </c>
      <c r="D9">
        <v>0.75</v>
      </c>
      <c r="E9">
        <v>1.01</v>
      </c>
      <c r="F9">
        <v>92</v>
      </c>
      <c r="G9">
        <f t="shared" si="0"/>
        <v>0.21115384615384614</v>
      </c>
      <c r="H9">
        <f t="shared" si="1"/>
        <v>0.30515600850560376</v>
      </c>
      <c r="I9">
        <f t="shared" si="2"/>
        <v>0.69195375568024775</v>
      </c>
      <c r="J9">
        <f t="shared" si="3"/>
        <v>19.426153846153845</v>
      </c>
      <c r="K9">
        <f t="shared" si="4"/>
        <v>44.049599999999998</v>
      </c>
      <c r="L9">
        <f t="shared" si="5"/>
        <v>13.442000112268444</v>
      </c>
      <c r="M9">
        <f t="shared" si="6"/>
        <v>0.38626624651080532</v>
      </c>
      <c r="N9">
        <f t="shared" si="7"/>
        <v>1.0574239281190669E-2</v>
      </c>
      <c r="O9">
        <f t="shared" si="8"/>
        <v>2.2084877362553611E-2</v>
      </c>
      <c r="P9">
        <f t="shared" si="9"/>
        <v>0.97283001386954149</v>
      </c>
    </row>
    <row r="10" spans="1:16" x14ac:dyDescent="0.2">
      <c r="A10">
        <v>0.05</v>
      </c>
      <c r="B10">
        <v>0.69</v>
      </c>
      <c r="C10">
        <v>0.6</v>
      </c>
      <c r="D10">
        <v>0.78</v>
      </c>
      <c r="E10">
        <v>0.91</v>
      </c>
      <c r="F10">
        <v>204</v>
      </c>
      <c r="G10">
        <f t="shared" si="0"/>
        <v>5.012315270935961E-2</v>
      </c>
      <c r="H10">
        <f t="shared" si="1"/>
        <v>7.7900134842735586E-2</v>
      </c>
      <c r="I10">
        <f t="shared" si="2"/>
        <v>0.64342831768581643</v>
      </c>
      <c r="J10">
        <f t="shared" si="3"/>
        <v>10.22512315270936</v>
      </c>
      <c r="K10">
        <f t="shared" si="4"/>
        <v>84.455999999999989</v>
      </c>
      <c r="L10">
        <f t="shared" si="5"/>
        <v>6.5791337882780754</v>
      </c>
      <c r="M10">
        <f t="shared" si="6"/>
        <v>1.5077565211904433</v>
      </c>
      <c r="N10">
        <f t="shared" si="7"/>
        <v>4.7401762294992655E-3</v>
      </c>
      <c r="O10">
        <f t="shared" si="8"/>
        <v>1.1449701037437842E-2</v>
      </c>
      <c r="P10">
        <f t="shared" si="9"/>
        <v>0.96699595081785028</v>
      </c>
    </row>
    <row r="11" spans="1:16" x14ac:dyDescent="0.2">
      <c r="A11">
        <v>7.0000000000000007E-2</v>
      </c>
      <c r="B11">
        <v>0.66</v>
      </c>
      <c r="C11">
        <v>0.52</v>
      </c>
      <c r="D11">
        <v>0.75</v>
      </c>
      <c r="E11">
        <v>1.01</v>
      </c>
      <c r="F11">
        <v>271</v>
      </c>
      <c r="G11">
        <f t="shared" si="0"/>
        <v>7.0129629629629639E-2</v>
      </c>
      <c r="H11">
        <f t="shared" si="1"/>
        <v>0.11970930397916232</v>
      </c>
      <c r="I11">
        <f t="shared" si="2"/>
        <v>0.5858327406350724</v>
      </c>
      <c r="J11">
        <f t="shared" si="3"/>
        <v>19.005129629629632</v>
      </c>
      <c r="K11">
        <f t="shared" si="4"/>
        <v>93.007199999999997</v>
      </c>
      <c r="L11">
        <f t="shared" si="5"/>
        <v>11.133827177050746</v>
      </c>
      <c r="M11">
        <f t="shared" si="6"/>
        <v>0.78386802059469618</v>
      </c>
      <c r="N11">
        <f t="shared" si="7"/>
        <v>3.5639102762531514E-3</v>
      </c>
      <c r="O11">
        <f t="shared" si="8"/>
        <v>1.0384353951786572E-2</v>
      </c>
      <c r="P11">
        <f t="shared" si="9"/>
        <v>0.96581968486460401</v>
      </c>
    </row>
    <row r="12" spans="1:16" x14ac:dyDescent="0.2">
      <c r="A12">
        <v>0.09</v>
      </c>
      <c r="B12">
        <v>0.66</v>
      </c>
      <c r="C12">
        <v>0.66</v>
      </c>
      <c r="D12">
        <v>0.75</v>
      </c>
      <c r="E12">
        <v>0.96</v>
      </c>
      <c r="F12">
        <v>221</v>
      </c>
      <c r="G12">
        <f t="shared" si="0"/>
        <v>9.0204545454545454E-2</v>
      </c>
      <c r="H12">
        <f t="shared" si="1"/>
        <v>0.13667355371900825</v>
      </c>
      <c r="I12">
        <f t="shared" si="2"/>
        <v>0.66000000000000014</v>
      </c>
      <c r="J12">
        <f t="shared" si="3"/>
        <v>19.935204545454546</v>
      </c>
      <c r="K12">
        <f t="shared" si="4"/>
        <v>96.267600000000044</v>
      </c>
      <c r="L12">
        <f t="shared" si="5"/>
        <v>13.157235000000004</v>
      </c>
      <c r="M12">
        <f t="shared" si="6"/>
        <v>0.53919851867822843</v>
      </c>
      <c r="N12">
        <f t="shared" si="7"/>
        <v>4.3738898844925041E-3</v>
      </c>
      <c r="O12">
        <f t="shared" si="8"/>
        <v>1.0041069523628333E-2</v>
      </c>
      <c r="P12">
        <f t="shared" si="9"/>
        <v>0.96662966447284338</v>
      </c>
    </row>
    <row r="13" spans="1:16" x14ac:dyDescent="0.2">
      <c r="A13">
        <v>0.27</v>
      </c>
      <c r="B13">
        <v>0.79</v>
      </c>
      <c r="C13">
        <v>0.64</v>
      </c>
      <c r="D13">
        <v>0.66</v>
      </c>
      <c r="E13">
        <v>1.01</v>
      </c>
      <c r="F13">
        <v>186</v>
      </c>
      <c r="G13">
        <f t="shared" si="0"/>
        <v>0.27072972972972975</v>
      </c>
      <c r="H13">
        <f t="shared" si="1"/>
        <v>0.38074342917486426</v>
      </c>
      <c r="I13">
        <f t="shared" si="2"/>
        <v>0.71105555338524717</v>
      </c>
      <c r="J13">
        <f t="shared" si="3"/>
        <v>50.355729729729731</v>
      </c>
      <c r="K13">
        <f t="shared" si="4"/>
        <v>94.041600000000003</v>
      </c>
      <c r="L13">
        <f t="shared" si="5"/>
        <v>35.805721269090917</v>
      </c>
      <c r="M13">
        <f t="shared" si="6"/>
        <v>2.6932312326909789</v>
      </c>
      <c r="N13">
        <f t="shared" si="7"/>
        <v>5.201382565342437E-3</v>
      </c>
      <c r="O13">
        <f t="shared" si="8"/>
        <v>1.0287544630819693E-2</v>
      </c>
      <c r="P13">
        <f t="shared" si="9"/>
        <v>0.96745715715369318</v>
      </c>
    </row>
    <row r="14" spans="1:16" x14ac:dyDescent="0.2">
      <c r="A14">
        <v>0.19</v>
      </c>
      <c r="B14">
        <v>0.64</v>
      </c>
      <c r="C14">
        <v>0.31</v>
      </c>
      <c r="D14">
        <v>0.75</v>
      </c>
      <c r="E14">
        <v>1.04</v>
      </c>
      <c r="F14">
        <v>504</v>
      </c>
      <c r="G14">
        <f t="shared" si="0"/>
        <v>0.19018886679920477</v>
      </c>
      <c r="H14">
        <f t="shared" si="1"/>
        <v>0.42698661079501543</v>
      </c>
      <c r="I14">
        <f t="shared" si="2"/>
        <v>0.44542114902640173</v>
      </c>
      <c r="J14">
        <f t="shared" si="3"/>
        <v>95.85518886679921</v>
      </c>
      <c r="K14">
        <f t="shared" si="4"/>
        <v>99.993599999999986</v>
      </c>
      <c r="L14">
        <f t="shared" si="5"/>
        <v>42.695928365192451</v>
      </c>
      <c r="M14">
        <f t="shared" si="6"/>
        <v>4.6425630209926059</v>
      </c>
      <c r="N14">
        <f t="shared" si="7"/>
        <v>1.9130333490822084E-3</v>
      </c>
      <c r="O14">
        <f t="shared" si="8"/>
        <v>9.6423051869062946E-3</v>
      </c>
      <c r="P14">
        <f t="shared" si="9"/>
        <v>0.96416880793743309</v>
      </c>
    </row>
    <row r="15" spans="1:16" x14ac:dyDescent="0.2">
      <c r="A15">
        <v>0.18</v>
      </c>
      <c r="B15">
        <v>0.63</v>
      </c>
      <c r="C15">
        <v>0.46</v>
      </c>
      <c r="D15">
        <v>0.75</v>
      </c>
      <c r="E15">
        <v>1</v>
      </c>
      <c r="F15">
        <v>281</v>
      </c>
      <c r="G15">
        <f t="shared" si="0"/>
        <v>0.18032142857142858</v>
      </c>
      <c r="H15">
        <f t="shared" si="1"/>
        <v>0.33496401134439963</v>
      </c>
      <c r="I15">
        <f t="shared" si="2"/>
        <v>0.53833075334779079</v>
      </c>
      <c r="J15">
        <f t="shared" si="3"/>
        <v>50.670321428571427</v>
      </c>
      <c r="K15">
        <f t="shared" si="4"/>
        <v>81.433799999999991</v>
      </c>
      <c r="L15">
        <f t="shared" si="5"/>
        <v>27.277392307017568</v>
      </c>
      <c r="M15">
        <f t="shared" si="6"/>
        <v>1.241050661665428</v>
      </c>
      <c r="N15">
        <f t="shared" si="7"/>
        <v>3.4366277663869676E-3</v>
      </c>
      <c r="O15">
        <f t="shared" si="8"/>
        <v>1.1858618931632051E-2</v>
      </c>
      <c r="P15">
        <f t="shared" si="9"/>
        <v>0.96569240235473797</v>
      </c>
    </row>
    <row r="16" spans="1:16" x14ac:dyDescent="0.2">
      <c r="A16">
        <v>-0.05</v>
      </c>
      <c r="B16">
        <v>0.73</v>
      </c>
      <c r="C16">
        <v>0.4</v>
      </c>
      <c r="D16">
        <v>0.8</v>
      </c>
      <c r="E16">
        <v>1.04</v>
      </c>
      <c r="F16">
        <v>91</v>
      </c>
      <c r="G16">
        <f t="shared" si="0"/>
        <v>-5.0277777777777782E-2</v>
      </c>
      <c r="H16">
        <f t="shared" si="1"/>
        <v>-9.3043202115115686E-2</v>
      </c>
      <c r="I16">
        <f t="shared" si="2"/>
        <v>0.54037024344425177</v>
      </c>
      <c r="J16">
        <f t="shared" si="3"/>
        <v>-4.575277777777778</v>
      </c>
      <c r="K16">
        <f t="shared" si="4"/>
        <v>26.571999999999992</v>
      </c>
      <c r="L16">
        <f t="shared" si="5"/>
        <v>-2.4723439666028533</v>
      </c>
      <c r="M16">
        <f t="shared" si="6"/>
        <v>2.4646823890689022</v>
      </c>
      <c r="N16">
        <f t="shared" si="7"/>
        <v>1.0691730828759453E-2</v>
      </c>
      <c r="O16">
        <f t="shared" si="8"/>
        <v>3.6615516536847449E-2</v>
      </c>
      <c r="P16">
        <f t="shared" si="9"/>
        <v>0.97294750541711017</v>
      </c>
    </row>
    <row r="17" spans="1:16" x14ac:dyDescent="0.2">
      <c r="A17">
        <v>0.12</v>
      </c>
      <c r="B17">
        <v>0.82</v>
      </c>
      <c r="C17">
        <v>0.32</v>
      </c>
      <c r="D17">
        <v>0.76</v>
      </c>
      <c r="E17">
        <v>0.86</v>
      </c>
      <c r="F17">
        <v>70</v>
      </c>
      <c r="G17">
        <f t="shared" si="0"/>
        <v>0.1208695652173913</v>
      </c>
      <c r="H17">
        <f t="shared" si="1"/>
        <v>0.23595818372300262</v>
      </c>
      <c r="I17">
        <f t="shared" si="2"/>
        <v>0.5122499389946279</v>
      </c>
      <c r="J17">
        <f t="shared" si="3"/>
        <v>8.46086956521739</v>
      </c>
      <c r="K17">
        <f t="shared" si="4"/>
        <v>18.368000000000002</v>
      </c>
      <c r="L17">
        <f t="shared" si="5"/>
        <v>4.3340799186241128</v>
      </c>
      <c r="M17">
        <f t="shared" si="6"/>
        <v>1.0975537101080526E-2</v>
      </c>
      <c r="N17">
        <f t="shared" si="7"/>
        <v>1.3945735863599288E-2</v>
      </c>
      <c r="O17">
        <f t="shared" si="8"/>
        <v>5.3146859236277773E-2</v>
      </c>
      <c r="P17">
        <f t="shared" si="9"/>
        <v>0.97620151045195025</v>
      </c>
    </row>
    <row r="18" spans="1:16" x14ac:dyDescent="0.2">
      <c r="A18">
        <v>0.02</v>
      </c>
      <c r="B18">
        <v>0.79</v>
      </c>
      <c r="C18">
        <v>0.76</v>
      </c>
      <c r="D18">
        <v>0.71</v>
      </c>
      <c r="E18">
        <v>1</v>
      </c>
      <c r="F18">
        <v>485</v>
      </c>
      <c r="G18">
        <f t="shared" si="0"/>
        <v>2.0020661157024795E-2</v>
      </c>
      <c r="H18">
        <f t="shared" si="1"/>
        <v>2.5837951198303597E-2</v>
      </c>
      <c r="I18">
        <f t="shared" si="2"/>
        <v>0.77485482511242065</v>
      </c>
      <c r="J18">
        <f t="shared" si="3"/>
        <v>9.7100206611570261</v>
      </c>
      <c r="K18">
        <f t="shared" si="4"/>
        <v>291.19400000000002</v>
      </c>
      <c r="L18">
        <f t="shared" si="5"/>
        <v>7.5238563612388178</v>
      </c>
      <c r="M18">
        <f t="shared" si="6"/>
        <v>10.039047385640897</v>
      </c>
      <c r="N18">
        <f t="shared" si="7"/>
        <v>1.9881317656784111E-3</v>
      </c>
      <c r="O18">
        <f t="shared" si="8"/>
        <v>3.3113453792112109E-3</v>
      </c>
      <c r="P18">
        <f t="shared" si="9"/>
        <v>0.96424390635402935</v>
      </c>
    </row>
    <row r="19" spans="1:16" x14ac:dyDescent="0.2">
      <c r="A19">
        <v>0.13</v>
      </c>
      <c r="B19">
        <v>0.71</v>
      </c>
      <c r="C19">
        <v>0.68</v>
      </c>
      <c r="D19">
        <v>0.8</v>
      </c>
      <c r="E19">
        <v>1.04</v>
      </c>
      <c r="F19">
        <v>159</v>
      </c>
      <c r="G19">
        <f t="shared" si="0"/>
        <v>0.1304113924050633</v>
      </c>
      <c r="H19">
        <f t="shared" si="1"/>
        <v>0.18768600974497843</v>
      </c>
      <c r="I19">
        <f t="shared" si="2"/>
        <v>0.69483811064160839</v>
      </c>
      <c r="J19">
        <f t="shared" si="3"/>
        <v>20.735411392405066</v>
      </c>
      <c r="K19">
        <f t="shared" si="4"/>
        <v>76.765200000000007</v>
      </c>
      <c r="L19">
        <f t="shared" si="5"/>
        <v>14.40775407527522</v>
      </c>
      <c r="M19">
        <f t="shared" si="6"/>
        <v>4.3583895873941791E-2</v>
      </c>
      <c r="N19">
        <f t="shared" si="7"/>
        <v>6.0902264214452587E-3</v>
      </c>
      <c r="O19">
        <f t="shared" si="8"/>
        <v>1.2614387782612382E-2</v>
      </c>
      <c r="P19">
        <f t="shared" si="9"/>
        <v>0.96834600100979618</v>
      </c>
    </row>
    <row r="20" spans="1:16" x14ac:dyDescent="0.2">
      <c r="A20">
        <v>0.14000000000000001</v>
      </c>
      <c r="B20">
        <v>0.7</v>
      </c>
      <c r="C20">
        <v>0.67</v>
      </c>
      <c r="D20">
        <v>0.75</v>
      </c>
      <c r="E20">
        <v>1.03</v>
      </c>
      <c r="F20">
        <v>103</v>
      </c>
      <c r="G20">
        <f t="shared" si="0"/>
        <v>0.14068627450980395</v>
      </c>
      <c r="H20">
        <f t="shared" si="1"/>
        <v>0.20543068200141101</v>
      </c>
      <c r="I20">
        <f t="shared" si="2"/>
        <v>0.68483574673055725</v>
      </c>
      <c r="J20">
        <f t="shared" si="3"/>
        <v>14.490686274509807</v>
      </c>
      <c r="K20">
        <f t="shared" si="4"/>
        <v>48.306999999999995</v>
      </c>
      <c r="L20">
        <f t="shared" si="5"/>
        <v>9.9237399554421604</v>
      </c>
      <c r="M20">
        <f t="shared" si="6"/>
        <v>1.787473196600285E-3</v>
      </c>
      <c r="N20">
        <f t="shared" si="7"/>
        <v>9.4338801430230487E-3</v>
      </c>
      <c r="O20">
        <f t="shared" si="8"/>
        <v>2.0114883034164283E-2</v>
      </c>
      <c r="P20">
        <f t="shared" si="9"/>
        <v>0.97168965473137392</v>
      </c>
    </row>
    <row r="21" spans="1:16" x14ac:dyDescent="0.2">
      <c r="A21">
        <v>0.23</v>
      </c>
      <c r="B21">
        <v>0.72</v>
      </c>
      <c r="C21">
        <v>0.72</v>
      </c>
      <c r="D21">
        <v>0.71</v>
      </c>
      <c r="E21">
        <v>0.98</v>
      </c>
      <c r="F21">
        <v>465</v>
      </c>
      <c r="G21">
        <f t="shared" si="0"/>
        <v>0.23024784482758623</v>
      </c>
      <c r="H21">
        <f t="shared" si="1"/>
        <v>0.31978867337164757</v>
      </c>
      <c r="I21">
        <f t="shared" si="2"/>
        <v>0.72</v>
      </c>
      <c r="J21">
        <f t="shared" si="3"/>
        <v>107.0652478448276</v>
      </c>
      <c r="K21">
        <f t="shared" si="4"/>
        <v>241.05599999999998</v>
      </c>
      <c r="L21">
        <f t="shared" si="5"/>
        <v>77.086978448275872</v>
      </c>
      <c r="M21">
        <f t="shared" si="6"/>
        <v>2.8260159425091165</v>
      </c>
      <c r="N21">
        <f t="shared" si="7"/>
        <v>2.0738271004059287E-3</v>
      </c>
      <c r="O21">
        <f t="shared" si="8"/>
        <v>4.0004380794867456E-3</v>
      </c>
      <c r="P21">
        <f t="shared" si="9"/>
        <v>0.96432960168875692</v>
      </c>
    </row>
    <row r="23" spans="1:16" x14ac:dyDescent="0.2">
      <c r="E23" t="s">
        <v>36</v>
      </c>
      <c r="F23">
        <f>SUM(F2:F21)</f>
        <v>4059</v>
      </c>
      <c r="H23">
        <f t="shared" ref="H23:P23" si="10">SUM(H2:H21)</f>
        <v>4.9650365117467459</v>
      </c>
      <c r="J23">
        <f t="shared" si="10"/>
        <v>560.28365257764267</v>
      </c>
      <c r="K23">
        <f t="shared" si="10"/>
        <v>1632.9342000000001</v>
      </c>
      <c r="L23">
        <f t="shared" si="10"/>
        <v>345.38785463849928</v>
      </c>
      <c r="M23">
        <f t="shared" si="10"/>
        <v>36.570783499402552</v>
      </c>
      <c r="P23">
        <f t="shared" si="10"/>
        <v>19.397698074251476</v>
      </c>
    </row>
    <row r="24" spans="1:16" x14ac:dyDescent="0.2">
      <c r="J24" t="s">
        <v>11</v>
      </c>
      <c r="L24" t="s">
        <v>37</v>
      </c>
      <c r="M24" t="s">
        <v>61</v>
      </c>
      <c r="P24" t="s">
        <v>62</v>
      </c>
    </row>
    <row r="25" spans="1:16" x14ac:dyDescent="0.2">
      <c r="J25">
        <f>J23/F23</f>
        <v>0.13803489839311225</v>
      </c>
      <c r="L25">
        <f>L23/K23</f>
        <v>0.21151363884625557</v>
      </c>
      <c r="M25">
        <f>M23/K23</f>
        <v>2.2395748401498695E-2</v>
      </c>
      <c r="P25">
        <f>P23/K23</f>
        <v>1.1879044528708796E-2</v>
      </c>
    </row>
    <row r="27" spans="1:16" x14ac:dyDescent="0.2">
      <c r="K27" t="s">
        <v>26</v>
      </c>
      <c r="L27" t="s">
        <v>25</v>
      </c>
    </row>
    <row r="28" spans="1:16" x14ac:dyDescent="0.2">
      <c r="K28" t="s">
        <v>27</v>
      </c>
      <c r="L28" s="1">
        <f>COUNT(A2:A21)</f>
        <v>20</v>
      </c>
    </row>
    <row r="29" spans="1:16" x14ac:dyDescent="0.2">
      <c r="K29" s="1" t="s">
        <v>11</v>
      </c>
      <c r="L29" s="1">
        <f>J25</f>
        <v>0.13803489839311225</v>
      </c>
    </row>
    <row r="30" spans="1:16" x14ac:dyDescent="0.2">
      <c r="K30" t="s">
        <v>47</v>
      </c>
      <c r="L30" s="1">
        <f>L25</f>
        <v>0.21151363884625557</v>
      </c>
    </row>
    <row r="31" spans="1:16" x14ac:dyDescent="0.2">
      <c r="K31" s="1" t="s">
        <v>15</v>
      </c>
      <c r="L31" s="1">
        <f>M25-P25</f>
        <v>1.05167038727899E-2</v>
      </c>
    </row>
    <row r="32" spans="1:16" x14ac:dyDescent="0.2">
      <c r="K32" s="1" t="s">
        <v>16</v>
      </c>
      <c r="L32" s="1">
        <f>SQRT(L31)</f>
        <v>0.102550981822652</v>
      </c>
    </row>
    <row r="33" spans="11:12" x14ac:dyDescent="0.2">
      <c r="K33" s="1" t="s">
        <v>17</v>
      </c>
      <c r="L33" s="1">
        <f>SQRT(M25/L28)</f>
        <v>3.3463224890541182E-2</v>
      </c>
    </row>
    <row r="34" spans="11:12" x14ac:dyDescent="0.2">
      <c r="K34" s="1" t="s">
        <v>18</v>
      </c>
      <c r="L34" s="1">
        <f>L30-1.96*L33</f>
        <v>0.14592571806079485</v>
      </c>
    </row>
    <row r="35" spans="11:12" x14ac:dyDescent="0.2">
      <c r="K35" s="1" t="s">
        <v>19</v>
      </c>
      <c r="L35" s="1">
        <f>L30+1.96*L33</f>
        <v>0.27710155963171629</v>
      </c>
    </row>
    <row r="36" spans="11:12" x14ac:dyDescent="0.2">
      <c r="K36" s="1" t="s">
        <v>20</v>
      </c>
      <c r="L36" s="1">
        <f>L30-1.28*L32</f>
        <v>8.0248382113261019E-2</v>
      </c>
    </row>
    <row r="37" spans="11:12" x14ac:dyDescent="0.2">
      <c r="K37" s="1" t="s">
        <v>21</v>
      </c>
      <c r="L37" s="1">
        <f>L30+1.28*L32</f>
        <v>0.34277889557925012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opLeftCell="D1" workbookViewId="0">
      <selection activeCell="A2" sqref="A2"/>
    </sheetView>
  </sheetViews>
  <sheetFormatPr baseColWidth="10" defaultRowHeight="16" x14ac:dyDescent="0.2"/>
  <sheetData>
    <row r="1" spans="1:20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39</v>
      </c>
      <c r="I1" t="s">
        <v>28</v>
      </c>
      <c r="J1" t="s">
        <v>29</v>
      </c>
      <c r="K1" t="s">
        <v>30</v>
      </c>
      <c r="L1" t="s">
        <v>32</v>
      </c>
      <c r="M1" t="s">
        <v>33</v>
      </c>
      <c r="N1" t="s">
        <v>34</v>
      </c>
      <c r="O1" t="s">
        <v>35</v>
      </c>
      <c r="P1" t="s">
        <v>38</v>
      </c>
      <c r="Q1" t="s">
        <v>41</v>
      </c>
      <c r="R1" t="s">
        <v>42</v>
      </c>
      <c r="S1" t="s">
        <v>43</v>
      </c>
      <c r="T1" t="s">
        <v>44</v>
      </c>
    </row>
    <row r="2" spans="1:20" x14ac:dyDescent="0.2">
      <c r="A2">
        <v>0.23</v>
      </c>
      <c r="B2">
        <v>0.41</v>
      </c>
      <c r="C2">
        <v>0.8</v>
      </c>
      <c r="D2">
        <v>0.69</v>
      </c>
      <c r="E2">
        <v>1</v>
      </c>
      <c r="F2">
        <v>64</v>
      </c>
      <c r="G2">
        <f>A2/((2*F2-2)/(2*F2-1))</f>
        <v>0.23182539682539682</v>
      </c>
      <c r="H2">
        <f>G2*F2</f>
        <v>14.836825396825397</v>
      </c>
      <c r="I2">
        <f t="shared" ref="I2:I21" si="0">((B2^0.5/D2)/SQRT(1+B2*(D2^-2-1)))^2</f>
        <v>0.59342971982880277</v>
      </c>
      <c r="J2">
        <f>1/D2</f>
        <v>1.4492753623188408</v>
      </c>
      <c r="K2">
        <f>(J2*G2)/(SQRT(I2*(C2+J2^2*G2^2-G2^2)))</f>
        <v>0.47053899175475905</v>
      </c>
      <c r="L2">
        <f>G2/K2</f>
        <v>0.49268052358607139</v>
      </c>
      <c r="M2">
        <f>L2^2*F2</f>
        <v>15.534982292546909</v>
      </c>
      <c r="N2">
        <f>M2*K2</f>
        <v>7.3098149048630576</v>
      </c>
      <c r="O2">
        <f>M2*(K2-$N$25)^2</f>
        <v>0.65372846103669724</v>
      </c>
      <c r="P2">
        <f>((1-$H$24^2)^2)/(F2-1)</f>
        <v>1.5273901183942078E-2</v>
      </c>
      <c r="Q2">
        <f>P2/L2^2</f>
        <v>6.2924415191723412E-2</v>
      </c>
      <c r="R2">
        <f>1/((J2^2-1)*G2^2+1)</f>
        <v>0.94416334700966442</v>
      </c>
      <c r="S2">
        <f>Q2*R2^2</f>
        <v>5.6093619171682908E-2</v>
      </c>
      <c r="T2">
        <f>M2*S2</f>
        <v>0.87141338055696382</v>
      </c>
    </row>
    <row r="3" spans="1:20" x14ac:dyDescent="0.2">
      <c r="A3">
        <v>0.17</v>
      </c>
      <c r="B3">
        <v>0.79</v>
      </c>
      <c r="C3">
        <v>0.47</v>
      </c>
      <c r="D3">
        <v>0.64</v>
      </c>
      <c r="E3">
        <v>0.92</v>
      </c>
      <c r="F3">
        <v>222</v>
      </c>
      <c r="G3">
        <f t="shared" ref="G3:G21" si="1">A3/((2*F3-2)/(2*F3-1))</f>
        <v>0.17038461538461538</v>
      </c>
      <c r="H3">
        <f t="shared" ref="H3:H21" si="2">G3*F3</f>
        <v>37.825384615384614</v>
      </c>
      <c r="I3">
        <f t="shared" si="0"/>
        <v>0.90181001260250948</v>
      </c>
      <c r="J3">
        <f t="shared" ref="J3:J21" si="3">1/D3</f>
        <v>1.5625</v>
      </c>
      <c r="K3">
        <f t="shared" ref="K3:K21" si="4">(J3*G3)/(SQRT(I3*(C3+J3^2*G3^2-G3^2)))</f>
        <v>0.39185329110471923</v>
      </c>
      <c r="L3">
        <f t="shared" ref="L3:L21" si="5">G3/K3</f>
        <v>0.43481736469346544</v>
      </c>
      <c r="M3">
        <f t="shared" ref="M3:M21" si="6">L3^2*F3</f>
        <v>41.972683221851369</v>
      </c>
      <c r="N3">
        <f t="shared" ref="N3:N21" si="7">M3*K3</f>
        <v>16.447134056978289</v>
      </c>
      <c r="O3">
        <f t="shared" ref="O3:O21" si="8">M3*(K3-$N$25)^2</f>
        <v>0.67113688002122407</v>
      </c>
      <c r="P3">
        <f t="shared" ref="P3:P21" si="9">((1-$H$24^2)^2)/(F3-1)</f>
        <v>4.3540985275490988E-3</v>
      </c>
      <c r="Q3">
        <f t="shared" ref="Q3:Q21" si="10">P3/L3^2</f>
        <v>2.3029499162747689E-2</v>
      </c>
      <c r="R3">
        <f t="shared" ref="R3:R21" si="11">1/((J3^2-1)*G3^2+1)</f>
        <v>0.95983535788629881</v>
      </c>
      <c r="S3">
        <f t="shared" ref="S3:S21" si="12">Q3*R3^2</f>
        <v>2.1216707131843798E-2</v>
      </c>
      <c r="T3">
        <f t="shared" ref="T3:T21" si="13">M3*S3</f>
        <v>0.89052212745567449</v>
      </c>
    </row>
    <row r="4" spans="1:20" x14ac:dyDescent="0.2">
      <c r="A4">
        <v>0.17</v>
      </c>
      <c r="B4">
        <v>0.26</v>
      </c>
      <c r="C4">
        <v>0.47</v>
      </c>
      <c r="D4">
        <v>0.79</v>
      </c>
      <c r="E4">
        <v>0.94</v>
      </c>
      <c r="F4">
        <v>115</v>
      </c>
      <c r="G4">
        <f t="shared" si="1"/>
        <v>0.17074561403508773</v>
      </c>
      <c r="H4">
        <f t="shared" si="2"/>
        <v>19.635745614035088</v>
      </c>
      <c r="I4">
        <f t="shared" si="0"/>
        <v>0.36019361792323451</v>
      </c>
      <c r="J4">
        <f t="shared" si="3"/>
        <v>1.2658227848101264</v>
      </c>
      <c r="K4">
        <f t="shared" si="4"/>
        <v>0.51575156577605008</v>
      </c>
      <c r="L4">
        <f t="shared" si="5"/>
        <v>0.33106174632386665</v>
      </c>
      <c r="M4">
        <f t="shared" si="6"/>
        <v>12.604216186085946</v>
      </c>
      <c r="N4">
        <f t="shared" si="7"/>
        <v>6.5006442333536611</v>
      </c>
      <c r="O4">
        <f t="shared" si="8"/>
        <v>0.78996606409166126</v>
      </c>
      <c r="P4">
        <f t="shared" si="9"/>
        <v>8.4408401279679902E-3</v>
      </c>
      <c r="Q4">
        <f t="shared" si="10"/>
        <v>7.7013643719304886E-2</v>
      </c>
      <c r="R4">
        <f t="shared" si="11"/>
        <v>0.98274331565685236</v>
      </c>
      <c r="S4">
        <f t="shared" si="12"/>
        <v>7.437857757564971E-2</v>
      </c>
      <c r="T4">
        <f t="shared" si="13"/>
        <v>0.93748367137705324</v>
      </c>
    </row>
    <row r="5" spans="1:20" x14ac:dyDescent="0.2">
      <c r="A5">
        <v>0.2</v>
      </c>
      <c r="B5">
        <v>0.83</v>
      </c>
      <c r="C5">
        <v>0.32</v>
      </c>
      <c r="D5">
        <v>0.76</v>
      </c>
      <c r="E5">
        <v>0.87</v>
      </c>
      <c r="F5">
        <v>44</v>
      </c>
      <c r="G5">
        <f t="shared" si="1"/>
        <v>0.20232558139534884</v>
      </c>
      <c r="H5">
        <f t="shared" si="2"/>
        <v>8.902325581395349</v>
      </c>
      <c r="I5">
        <f t="shared" si="0"/>
        <v>0.8942115424394953</v>
      </c>
      <c r="J5">
        <f t="shared" si="3"/>
        <v>1.3157894736842106</v>
      </c>
      <c r="K5">
        <f t="shared" si="4"/>
        <v>0.47590751511889023</v>
      </c>
      <c r="L5">
        <f t="shared" si="5"/>
        <v>0.42513634470513517</v>
      </c>
      <c r="M5">
        <f t="shared" si="6"/>
        <v>7.9526001099267152</v>
      </c>
      <c r="N5">
        <f t="shared" si="7"/>
        <v>3.7847021570494364</v>
      </c>
      <c r="O5">
        <f t="shared" si="8"/>
        <v>0.35239910888566028</v>
      </c>
      <c r="P5">
        <f t="shared" si="9"/>
        <v>2.2378041269496531E-2</v>
      </c>
      <c r="Q5">
        <f t="shared" si="10"/>
        <v>0.12381281621702477</v>
      </c>
      <c r="R5">
        <f t="shared" si="11"/>
        <v>0.97093382070020207</v>
      </c>
      <c r="S5">
        <f t="shared" si="12"/>
        <v>0.11671988754921032</v>
      </c>
      <c r="T5">
        <f t="shared" si="13"/>
        <v>0.92822659055448387</v>
      </c>
    </row>
    <row r="6" spans="1:20" x14ac:dyDescent="0.2">
      <c r="A6">
        <v>0.12</v>
      </c>
      <c r="B6">
        <v>0.56000000000000005</v>
      </c>
      <c r="C6">
        <v>0.64</v>
      </c>
      <c r="D6">
        <v>0.78</v>
      </c>
      <c r="E6">
        <v>1.05</v>
      </c>
      <c r="F6">
        <v>214</v>
      </c>
      <c r="G6">
        <f t="shared" si="1"/>
        <v>0.12028169014084507</v>
      </c>
      <c r="H6">
        <f t="shared" si="2"/>
        <v>25.740281690140844</v>
      </c>
      <c r="I6">
        <f t="shared" si="0"/>
        <v>0.67657690746360988</v>
      </c>
      <c r="J6">
        <f t="shared" si="3"/>
        <v>1.2820512820512819</v>
      </c>
      <c r="K6">
        <f t="shared" si="4"/>
        <v>0.2326588359434256</v>
      </c>
      <c r="L6">
        <f t="shared" si="5"/>
        <v>0.51698741486909749</v>
      </c>
      <c r="M6">
        <f t="shared" si="6"/>
        <v>57.197061246468927</v>
      </c>
      <c r="N6">
        <f t="shared" si="7"/>
        <v>13.30740168898828</v>
      </c>
      <c r="O6">
        <f t="shared" si="8"/>
        <v>6.1322995973307502E-2</v>
      </c>
      <c r="P6">
        <f t="shared" si="9"/>
        <v>4.5176327445462482E-3</v>
      </c>
      <c r="Q6">
        <f t="shared" si="10"/>
        <v>1.6902501391932633E-2</v>
      </c>
      <c r="R6">
        <f t="shared" si="11"/>
        <v>0.99077371221773569</v>
      </c>
      <c r="S6">
        <f t="shared" si="12"/>
        <v>1.6592045522825376E-2</v>
      </c>
      <c r="T6">
        <f t="shared" si="13"/>
        <v>0.94901624397324358</v>
      </c>
    </row>
    <row r="7" spans="1:20" x14ac:dyDescent="0.2">
      <c r="A7">
        <v>0.42</v>
      </c>
      <c r="B7">
        <v>0.86</v>
      </c>
      <c r="C7">
        <v>0.82</v>
      </c>
      <c r="D7">
        <v>0.77</v>
      </c>
      <c r="E7">
        <v>0.92</v>
      </c>
      <c r="F7">
        <v>66</v>
      </c>
      <c r="G7">
        <f t="shared" si="1"/>
        <v>0.42323076923076924</v>
      </c>
      <c r="H7">
        <f t="shared" si="2"/>
        <v>27.933230769230772</v>
      </c>
      <c r="I7">
        <f t="shared" si="0"/>
        <v>0.91197723026152533</v>
      </c>
      <c r="J7">
        <f t="shared" si="3"/>
        <v>1.2987012987012987</v>
      </c>
      <c r="K7">
        <f t="shared" si="4"/>
        <v>0.59270785891285516</v>
      </c>
      <c r="L7">
        <f t="shared" si="5"/>
        <v>0.71406302930934507</v>
      </c>
      <c r="M7">
        <f t="shared" si="6"/>
        <v>33.652476648544948</v>
      </c>
      <c r="N7">
        <f t="shared" si="7"/>
        <v>19.94608738147393</v>
      </c>
      <c r="O7">
        <f t="shared" si="8"/>
        <v>3.6051534437726716</v>
      </c>
      <c r="P7">
        <f t="shared" si="9"/>
        <v>1.4803934993666936E-2</v>
      </c>
      <c r="Q7">
        <f t="shared" si="10"/>
        <v>2.9033812868696055E-2</v>
      </c>
      <c r="R7">
        <f t="shared" si="11"/>
        <v>0.89047890994618151</v>
      </c>
      <c r="S7">
        <f t="shared" si="12"/>
        <v>2.3022439987866586E-2</v>
      </c>
      <c r="T7">
        <f t="shared" si="13"/>
        <v>0.77476212408420775</v>
      </c>
    </row>
    <row r="8" spans="1:20" x14ac:dyDescent="0.2">
      <c r="A8">
        <v>0.02</v>
      </c>
      <c r="B8">
        <v>0.61</v>
      </c>
      <c r="C8">
        <v>0.69</v>
      </c>
      <c r="D8">
        <v>0.74</v>
      </c>
      <c r="E8">
        <v>0.97</v>
      </c>
      <c r="F8">
        <v>202</v>
      </c>
      <c r="G8">
        <f t="shared" si="1"/>
        <v>2.0049751243781097E-2</v>
      </c>
      <c r="H8">
        <f t="shared" si="2"/>
        <v>4.0500497512437814</v>
      </c>
      <c r="I8">
        <f t="shared" si="0"/>
        <v>0.74068317702085085</v>
      </c>
      <c r="J8">
        <f t="shared" si="3"/>
        <v>1.3513513513513513</v>
      </c>
      <c r="K8">
        <f t="shared" si="4"/>
        <v>3.7890644503895378E-2</v>
      </c>
      <c r="L8">
        <f t="shared" si="5"/>
        <v>0.52914780168808861</v>
      </c>
      <c r="M8">
        <f t="shared" si="6"/>
        <v>56.559473998330027</v>
      </c>
      <c r="N8">
        <f t="shared" si="7"/>
        <v>2.143074922598037</v>
      </c>
      <c r="O8">
        <f t="shared" si="8"/>
        <v>2.9276066233814757</v>
      </c>
      <c r="P8">
        <f t="shared" si="9"/>
        <v>4.7873421621310985E-3</v>
      </c>
      <c r="Q8">
        <f t="shared" si="10"/>
        <v>1.7097809586755257E-2</v>
      </c>
      <c r="R8">
        <f t="shared" si="11"/>
        <v>0.99966800394264455</v>
      </c>
      <c r="S8">
        <f t="shared" si="12"/>
        <v>1.7086458660555026E-2</v>
      </c>
      <c r="T8">
        <f t="shared" si="13"/>
        <v>0.96640111433520293</v>
      </c>
    </row>
    <row r="9" spans="1:20" x14ac:dyDescent="0.2">
      <c r="A9">
        <v>0.21</v>
      </c>
      <c r="B9">
        <v>0.76</v>
      </c>
      <c r="C9">
        <v>0.63</v>
      </c>
      <c r="D9">
        <v>0.75</v>
      </c>
      <c r="E9">
        <v>1.01</v>
      </c>
      <c r="F9">
        <v>92</v>
      </c>
      <c r="G9">
        <f t="shared" si="1"/>
        <v>0.21115384615384614</v>
      </c>
      <c r="H9">
        <f t="shared" si="2"/>
        <v>19.426153846153845</v>
      </c>
      <c r="I9">
        <f t="shared" si="0"/>
        <v>0.84916201117318402</v>
      </c>
      <c r="J9">
        <f t="shared" si="3"/>
        <v>1.3333333333333333</v>
      </c>
      <c r="K9">
        <f t="shared" si="4"/>
        <v>0.37474583605095224</v>
      </c>
      <c r="L9">
        <f t="shared" si="5"/>
        <v>0.56345881885966209</v>
      </c>
      <c r="M9">
        <f t="shared" si="6"/>
        <v>29.208697330666745</v>
      </c>
      <c r="N9">
        <f t="shared" si="7"/>
        <v>10.945837701139926</v>
      </c>
      <c r="O9">
        <f t="shared" si="8"/>
        <v>0.34921934762462731</v>
      </c>
      <c r="P9">
        <f t="shared" si="9"/>
        <v>1.0574239281190669E-2</v>
      </c>
      <c r="Q9">
        <f t="shared" si="10"/>
        <v>3.3306175994646275E-2</v>
      </c>
      <c r="R9">
        <f t="shared" si="11"/>
        <v>0.96648429756107124</v>
      </c>
      <c r="S9">
        <f t="shared" si="12"/>
        <v>3.1111029131047175E-2</v>
      </c>
      <c r="T9">
        <f t="shared" si="13"/>
        <v>0.90871263353431297</v>
      </c>
    </row>
    <row r="10" spans="1:20" x14ac:dyDescent="0.2">
      <c r="A10">
        <v>0.05</v>
      </c>
      <c r="B10">
        <v>0.69</v>
      </c>
      <c r="C10">
        <v>0.6</v>
      </c>
      <c r="D10">
        <v>0.78</v>
      </c>
      <c r="E10">
        <v>0.91</v>
      </c>
      <c r="F10">
        <v>204</v>
      </c>
      <c r="G10">
        <f t="shared" si="1"/>
        <v>5.012315270935961E-2</v>
      </c>
      <c r="H10">
        <f t="shared" si="2"/>
        <v>10.22512315270936</v>
      </c>
      <c r="I10">
        <f t="shared" si="0"/>
        <v>0.78533673873553955</v>
      </c>
      <c r="J10">
        <f t="shared" si="3"/>
        <v>1.2820512820512819</v>
      </c>
      <c r="K10">
        <f t="shared" si="4"/>
        <v>9.348797287860755E-2</v>
      </c>
      <c r="L10">
        <f t="shared" si="5"/>
        <v>0.53614546519736417</v>
      </c>
      <c r="M10">
        <f t="shared" si="6"/>
        <v>58.640199809746399</v>
      </c>
      <c r="N10">
        <f t="shared" si="7"/>
        <v>5.4821534094096993</v>
      </c>
      <c r="O10">
        <f t="shared" si="8"/>
        <v>1.7330841946060553</v>
      </c>
      <c r="P10">
        <f t="shared" si="9"/>
        <v>4.7401762294992655E-3</v>
      </c>
      <c r="Q10">
        <f t="shared" si="10"/>
        <v>1.6490324964021166E-2</v>
      </c>
      <c r="R10">
        <f t="shared" si="11"/>
        <v>0.99838553543241138</v>
      </c>
      <c r="S10">
        <f t="shared" si="12"/>
        <v>1.6437121855259716E-2</v>
      </c>
      <c r="T10">
        <f t="shared" si="13"/>
        <v>0.96387610988957917</v>
      </c>
    </row>
    <row r="11" spans="1:20" x14ac:dyDescent="0.2">
      <c r="A11">
        <v>7.0000000000000007E-2</v>
      </c>
      <c r="B11">
        <v>0.66</v>
      </c>
      <c r="C11">
        <v>0.52</v>
      </c>
      <c r="D11">
        <v>0.75</v>
      </c>
      <c r="E11">
        <v>1.01</v>
      </c>
      <c r="F11">
        <v>271</v>
      </c>
      <c r="G11">
        <f t="shared" si="1"/>
        <v>7.0129629629629639E-2</v>
      </c>
      <c r="H11">
        <f t="shared" si="2"/>
        <v>19.005129629629632</v>
      </c>
      <c r="I11">
        <f t="shared" si="0"/>
        <v>0.77533039647577107</v>
      </c>
      <c r="J11">
        <f t="shared" si="3"/>
        <v>1.3333333333333333</v>
      </c>
      <c r="K11">
        <f t="shared" si="4"/>
        <v>0.14672484740635133</v>
      </c>
      <c r="L11">
        <f t="shared" si="5"/>
        <v>0.47796696244234033</v>
      </c>
      <c r="M11">
        <f t="shared" si="6"/>
        <v>61.910605057502899</v>
      </c>
      <c r="N11">
        <f t="shared" si="7"/>
        <v>9.0838240798969956</v>
      </c>
      <c r="O11">
        <f t="shared" si="8"/>
        <v>0.8719700951611562</v>
      </c>
      <c r="P11">
        <f t="shared" si="9"/>
        <v>3.5639102762531514E-3</v>
      </c>
      <c r="Q11">
        <f t="shared" si="10"/>
        <v>1.5600230105448745E-2</v>
      </c>
      <c r="R11">
        <f t="shared" si="11"/>
        <v>0.99618933729006265</v>
      </c>
      <c r="S11">
        <f t="shared" si="12"/>
        <v>1.5481562208476097E-2</v>
      </c>
      <c r="T11">
        <f t="shared" si="13"/>
        <v>0.95847288356212601</v>
      </c>
    </row>
    <row r="12" spans="1:20" x14ac:dyDescent="0.2">
      <c r="A12">
        <v>0.09</v>
      </c>
      <c r="B12">
        <v>0.66</v>
      </c>
      <c r="C12">
        <v>0.66</v>
      </c>
      <c r="D12">
        <v>0.75</v>
      </c>
      <c r="E12">
        <v>0.96</v>
      </c>
      <c r="F12">
        <v>221</v>
      </c>
      <c r="G12">
        <f t="shared" si="1"/>
        <v>9.0204545454545454E-2</v>
      </c>
      <c r="H12">
        <f t="shared" si="2"/>
        <v>19.935204545454546</v>
      </c>
      <c r="I12">
        <f t="shared" si="0"/>
        <v>0.77533039647577107</v>
      </c>
      <c r="J12">
        <f t="shared" si="3"/>
        <v>1.3333333333333333</v>
      </c>
      <c r="K12">
        <f t="shared" si="4"/>
        <v>0.16733219349151116</v>
      </c>
      <c r="L12">
        <f t="shared" si="5"/>
        <v>0.53907466084296307</v>
      </c>
      <c r="M12">
        <f t="shared" si="6"/>
        <v>64.222929281813194</v>
      </c>
      <c r="N12">
        <f t="shared" si="7"/>
        <v>10.746563629176002</v>
      </c>
      <c r="O12">
        <f t="shared" si="8"/>
        <v>0.61767999889372482</v>
      </c>
      <c r="P12">
        <f t="shared" si="9"/>
        <v>4.3738898844925041E-3</v>
      </c>
      <c r="Q12">
        <f t="shared" si="10"/>
        <v>1.5051161248519629E-2</v>
      </c>
      <c r="R12">
        <f t="shared" si="11"/>
        <v>0.99371113126306421</v>
      </c>
      <c r="S12">
        <f t="shared" si="12"/>
        <v>1.4862446965129424E-2</v>
      </c>
      <c r="T12">
        <f t="shared" si="13"/>
        <v>0.9545098803962061</v>
      </c>
    </row>
    <row r="13" spans="1:20" x14ac:dyDescent="0.2">
      <c r="A13">
        <v>0.27</v>
      </c>
      <c r="B13">
        <v>0.79</v>
      </c>
      <c r="C13">
        <v>0.64</v>
      </c>
      <c r="D13">
        <v>0.66</v>
      </c>
      <c r="E13">
        <v>1.01</v>
      </c>
      <c r="F13">
        <v>186</v>
      </c>
      <c r="G13">
        <f t="shared" si="1"/>
        <v>0.27072972972972975</v>
      </c>
      <c r="H13">
        <f t="shared" si="2"/>
        <v>50.355729729729731</v>
      </c>
      <c r="I13">
        <f t="shared" si="0"/>
        <v>0.89622406055298176</v>
      </c>
      <c r="J13">
        <f t="shared" si="3"/>
        <v>1.5151515151515151</v>
      </c>
      <c r="K13">
        <f t="shared" si="4"/>
        <v>0.505417067606316</v>
      </c>
      <c r="L13">
        <f t="shared" si="5"/>
        <v>0.53565608896415229</v>
      </c>
      <c r="M13">
        <f t="shared" si="6"/>
        <v>53.368504889853163</v>
      </c>
      <c r="N13">
        <f t="shared" si="7"/>
        <v>26.973353243962922</v>
      </c>
      <c r="O13">
        <f t="shared" si="8"/>
        <v>3.0744038046093647</v>
      </c>
      <c r="P13">
        <f t="shared" si="9"/>
        <v>5.201382565342437E-3</v>
      </c>
      <c r="Q13">
        <f t="shared" si="10"/>
        <v>1.8127866972297998E-2</v>
      </c>
      <c r="R13">
        <f t="shared" si="11"/>
        <v>0.91326983972755582</v>
      </c>
      <c r="S13">
        <f t="shared" si="12"/>
        <v>1.5119761359903285E-2</v>
      </c>
      <c r="T13">
        <f>M13*S13</f>
        <v>0.80691905806941133</v>
      </c>
    </row>
    <row r="14" spans="1:20" x14ac:dyDescent="0.2">
      <c r="A14">
        <v>0.19</v>
      </c>
      <c r="B14">
        <v>0.64</v>
      </c>
      <c r="C14">
        <v>0.31</v>
      </c>
      <c r="D14">
        <v>0.75</v>
      </c>
      <c r="E14">
        <v>1.04</v>
      </c>
      <c r="F14">
        <v>504</v>
      </c>
      <c r="G14">
        <f t="shared" si="1"/>
        <v>0.19018886679920477</v>
      </c>
      <c r="H14">
        <f t="shared" si="2"/>
        <v>95.85518886679921</v>
      </c>
      <c r="I14">
        <f t="shared" si="0"/>
        <v>0.75964391691394662</v>
      </c>
      <c r="J14">
        <f t="shared" si="3"/>
        <v>1.3333333333333333</v>
      </c>
      <c r="K14">
        <f t="shared" si="4"/>
        <v>0.50035081810291171</v>
      </c>
      <c r="L14">
        <f t="shared" si="5"/>
        <v>0.38011103393476792</v>
      </c>
      <c r="M14">
        <f t="shared" si="6"/>
        <v>72.820136651954968</v>
      </c>
      <c r="N14">
        <f t="shared" si="7"/>
        <v>36.435614948171491</v>
      </c>
      <c r="O14">
        <f t="shared" si="8"/>
        <v>4.0197297285765723</v>
      </c>
      <c r="P14">
        <f t="shared" si="9"/>
        <v>1.9130333490822084E-3</v>
      </c>
      <c r="Q14">
        <f t="shared" si="10"/>
        <v>1.324041470212688E-2</v>
      </c>
      <c r="R14">
        <f t="shared" si="11"/>
        <v>0.97263621630716113</v>
      </c>
      <c r="S14">
        <f t="shared" si="12"/>
        <v>1.2525713127772953E-2</v>
      </c>
      <c r="T14">
        <f t="shared" si="13"/>
        <v>0.91212414162761268</v>
      </c>
    </row>
    <row r="15" spans="1:20" x14ac:dyDescent="0.2">
      <c r="A15">
        <v>0.18</v>
      </c>
      <c r="B15">
        <v>0.63</v>
      </c>
      <c r="C15">
        <v>0.46</v>
      </c>
      <c r="D15">
        <v>0.75</v>
      </c>
      <c r="E15">
        <v>1</v>
      </c>
      <c r="F15">
        <v>281</v>
      </c>
      <c r="G15">
        <f t="shared" si="1"/>
        <v>0.18032142857142858</v>
      </c>
      <c r="H15">
        <f t="shared" si="2"/>
        <v>50.670321428571427</v>
      </c>
      <c r="I15">
        <f t="shared" si="0"/>
        <v>0.75167785234899342</v>
      </c>
      <c r="J15">
        <f t="shared" si="3"/>
        <v>1.3333333333333333</v>
      </c>
      <c r="K15">
        <f t="shared" si="4"/>
        <v>0.39807920537501945</v>
      </c>
      <c r="L15">
        <f t="shared" si="5"/>
        <v>0.45297876939226889</v>
      </c>
      <c r="M15">
        <f t="shared" si="6"/>
        <v>57.658324111157746</v>
      </c>
      <c r="N15">
        <f t="shared" si="7"/>
        <v>22.952579845424999</v>
      </c>
      <c r="O15">
        <f t="shared" si="8"/>
        <v>1.0149685428470625</v>
      </c>
      <c r="P15">
        <f t="shared" si="9"/>
        <v>3.4366277663869676E-3</v>
      </c>
      <c r="Q15">
        <f t="shared" si="10"/>
        <v>1.6748534010336626E-2</v>
      </c>
      <c r="R15">
        <f t="shared" si="11"/>
        <v>0.9753337315539683</v>
      </c>
      <c r="S15">
        <f t="shared" si="12"/>
        <v>1.5932476561823367E-2</v>
      </c>
      <c r="T15">
        <f t="shared" si="13"/>
        <v>0.91863989749503594</v>
      </c>
    </row>
    <row r="16" spans="1:20" x14ac:dyDescent="0.2">
      <c r="A16">
        <v>-0.05</v>
      </c>
      <c r="B16">
        <v>0.73</v>
      </c>
      <c r="C16">
        <v>0.4</v>
      </c>
      <c r="D16">
        <v>0.8</v>
      </c>
      <c r="E16">
        <v>1.04</v>
      </c>
      <c r="F16">
        <v>91</v>
      </c>
      <c r="G16">
        <f t="shared" si="1"/>
        <v>-5.0277777777777782E-2</v>
      </c>
      <c r="H16">
        <f t="shared" si="2"/>
        <v>-4.575277777777778</v>
      </c>
      <c r="I16">
        <f t="shared" si="0"/>
        <v>0.80859548072662812</v>
      </c>
      <c r="J16">
        <f t="shared" si="3"/>
        <v>1.25</v>
      </c>
      <c r="K16">
        <f t="shared" si="4"/>
        <v>-0.11031127167729</v>
      </c>
      <c r="L16">
        <f t="shared" si="5"/>
        <v>0.45578096429585957</v>
      </c>
      <c r="M16">
        <f t="shared" si="6"/>
        <v>18.904002154716188</v>
      </c>
      <c r="N16">
        <f t="shared" si="7"/>
        <v>-2.0853245174769732</v>
      </c>
      <c r="O16">
        <f t="shared" si="8"/>
        <v>2.6685021645638405</v>
      </c>
      <c r="P16">
        <f t="shared" si="9"/>
        <v>1.0691730828759453E-2</v>
      </c>
      <c r="Q16">
        <f t="shared" si="10"/>
        <v>5.1467805465435709E-2</v>
      </c>
      <c r="R16">
        <f t="shared" si="11"/>
        <v>0.99858010057834001</v>
      </c>
      <c r="S16">
        <f t="shared" si="12"/>
        <v>5.132175101598882E-2</v>
      </c>
      <c r="T16">
        <f t="shared" si="13"/>
        <v>0.97018649179006045</v>
      </c>
    </row>
    <row r="17" spans="1:20" x14ac:dyDescent="0.2">
      <c r="A17">
        <v>0.12</v>
      </c>
      <c r="B17">
        <v>0.82</v>
      </c>
      <c r="C17">
        <v>0.32</v>
      </c>
      <c r="D17">
        <v>0.76</v>
      </c>
      <c r="E17">
        <v>0.86</v>
      </c>
      <c r="F17">
        <v>70</v>
      </c>
      <c r="G17">
        <f t="shared" si="1"/>
        <v>0.1208695652173913</v>
      </c>
      <c r="H17">
        <f t="shared" si="2"/>
        <v>8.46086956521739</v>
      </c>
      <c r="I17">
        <f t="shared" si="0"/>
        <v>0.88747662256701521</v>
      </c>
      <c r="J17">
        <f t="shared" si="3"/>
        <v>1.3157894736842106</v>
      </c>
      <c r="K17">
        <f t="shared" si="4"/>
        <v>0.29357452560926361</v>
      </c>
      <c r="L17">
        <f t="shared" si="5"/>
        <v>0.41171680331100674</v>
      </c>
      <c r="M17">
        <f t="shared" si="6"/>
        <v>11.865750829004394</v>
      </c>
      <c r="N17">
        <f t="shared" si="7"/>
        <v>3.4834821706226915</v>
      </c>
      <c r="O17">
        <f t="shared" si="8"/>
        <v>9.4175312886539686E-3</v>
      </c>
      <c r="P17">
        <f t="shared" si="9"/>
        <v>1.3945735863599288E-2</v>
      </c>
      <c r="Q17">
        <f t="shared" si="10"/>
        <v>8.227052164838515E-2</v>
      </c>
      <c r="R17">
        <f t="shared" si="11"/>
        <v>0.98942901909197967</v>
      </c>
      <c r="S17">
        <f t="shared" si="12"/>
        <v>8.0540354792986601E-2</v>
      </c>
      <c r="T17">
        <f t="shared" si="13"/>
        <v>0.95567178165318878</v>
      </c>
    </row>
    <row r="18" spans="1:20" x14ac:dyDescent="0.2">
      <c r="A18">
        <v>0.02</v>
      </c>
      <c r="B18">
        <v>0.79</v>
      </c>
      <c r="C18">
        <v>0.76</v>
      </c>
      <c r="D18">
        <v>0.71</v>
      </c>
      <c r="E18">
        <v>1</v>
      </c>
      <c r="F18">
        <v>485</v>
      </c>
      <c r="G18">
        <f t="shared" si="1"/>
        <v>2.0020661157024795E-2</v>
      </c>
      <c r="H18">
        <f t="shared" si="2"/>
        <v>9.7100206611570261</v>
      </c>
      <c r="I18">
        <f t="shared" si="0"/>
        <v>0.88183323082487119</v>
      </c>
      <c r="J18">
        <f t="shared" si="3"/>
        <v>1.4084507042253522</v>
      </c>
      <c r="K18">
        <f t="shared" si="4"/>
        <v>3.4435580464069825E-2</v>
      </c>
      <c r="L18">
        <f t="shared" si="5"/>
        <v>0.58139461821804939</v>
      </c>
      <c r="M18">
        <f t="shared" si="6"/>
        <v>163.93955551506201</v>
      </c>
      <c r="N18">
        <f t="shared" si="7"/>
        <v>5.6453537551827599</v>
      </c>
      <c r="O18">
        <f t="shared" si="8"/>
        <v>8.7454592876509043</v>
      </c>
      <c r="P18">
        <f t="shared" si="9"/>
        <v>1.9881317656784111E-3</v>
      </c>
      <c r="Q18">
        <f t="shared" si="10"/>
        <v>5.8817037982358015E-3</v>
      </c>
      <c r="R18">
        <f t="shared" si="11"/>
        <v>0.99960584863932156</v>
      </c>
      <c r="S18">
        <f t="shared" si="12"/>
        <v>5.8770681488792666E-3</v>
      </c>
      <c r="T18">
        <f t="shared" si="13"/>
        <v>0.96348394005899529</v>
      </c>
    </row>
    <row r="19" spans="1:20" x14ac:dyDescent="0.2">
      <c r="A19">
        <v>0.13</v>
      </c>
      <c r="B19">
        <v>0.71</v>
      </c>
      <c r="C19">
        <v>0.68</v>
      </c>
      <c r="D19">
        <v>0.8</v>
      </c>
      <c r="E19">
        <v>1.04</v>
      </c>
      <c r="F19">
        <v>159</v>
      </c>
      <c r="G19">
        <f t="shared" si="1"/>
        <v>0.1304113924050633</v>
      </c>
      <c r="H19">
        <f t="shared" si="2"/>
        <v>20.735411392405066</v>
      </c>
      <c r="I19">
        <f t="shared" si="0"/>
        <v>0.79276462706565431</v>
      </c>
      <c r="J19">
        <f t="shared" si="3"/>
        <v>1.25</v>
      </c>
      <c r="K19">
        <f t="shared" si="4"/>
        <v>0.22047803623908155</v>
      </c>
      <c r="L19">
        <f t="shared" si="5"/>
        <v>0.59149380423385145</v>
      </c>
      <c r="M19">
        <f t="shared" si="6"/>
        <v>55.628522351078367</v>
      </c>
      <c r="N19">
        <f t="shared" si="7"/>
        <v>12.264867366847614</v>
      </c>
      <c r="O19">
        <f t="shared" si="8"/>
        <v>0.11226897412741423</v>
      </c>
      <c r="P19">
        <f t="shared" si="9"/>
        <v>6.0902264214452587E-3</v>
      </c>
      <c r="Q19">
        <f t="shared" si="10"/>
        <v>1.740736514442082E-2</v>
      </c>
      <c r="R19">
        <f t="shared" si="11"/>
        <v>0.99052413958725571</v>
      </c>
      <c r="S19">
        <f t="shared" si="12"/>
        <v>1.7079028660818729E-2</v>
      </c>
      <c r="T19">
        <f t="shared" si="13"/>
        <v>0.95008112759306274</v>
      </c>
    </row>
    <row r="20" spans="1:20" x14ac:dyDescent="0.2">
      <c r="A20">
        <v>0.14000000000000001</v>
      </c>
      <c r="B20">
        <v>0.7</v>
      </c>
      <c r="C20">
        <v>0.67</v>
      </c>
      <c r="D20">
        <v>0.75</v>
      </c>
      <c r="E20">
        <v>1.03</v>
      </c>
      <c r="F20">
        <v>103</v>
      </c>
      <c r="G20">
        <f t="shared" si="1"/>
        <v>0.14068627450980395</v>
      </c>
      <c r="H20">
        <f t="shared" si="2"/>
        <v>14.490686274509807</v>
      </c>
      <c r="I20">
        <f t="shared" si="0"/>
        <v>0.80575539568345333</v>
      </c>
      <c r="J20">
        <f t="shared" si="3"/>
        <v>1.3333333333333333</v>
      </c>
      <c r="K20">
        <f t="shared" si="4"/>
        <v>0.25241701190027227</v>
      </c>
      <c r="L20">
        <f t="shared" si="5"/>
        <v>0.55735654839852022</v>
      </c>
      <c r="M20">
        <f t="shared" si="6"/>
        <v>31.996571170399339</v>
      </c>
      <c r="N20">
        <f t="shared" si="7"/>
        <v>8.0764788858865977</v>
      </c>
      <c r="O20">
        <f t="shared" si="8"/>
        <v>5.3952010722854854E-3</v>
      </c>
      <c r="P20">
        <f t="shared" si="9"/>
        <v>9.4338801430230487E-3</v>
      </c>
      <c r="Q20">
        <f t="shared" si="10"/>
        <v>3.036855572919336E-2</v>
      </c>
      <c r="R20">
        <f t="shared" si="11"/>
        <v>0.98483912445807675</v>
      </c>
      <c r="S20">
        <f t="shared" si="12"/>
        <v>2.9454708219338488E-2</v>
      </c>
      <c r="T20">
        <f t="shared" si="13"/>
        <v>0.94244966784341033</v>
      </c>
    </row>
    <row r="21" spans="1:20" x14ac:dyDescent="0.2">
      <c r="A21">
        <v>0.23</v>
      </c>
      <c r="B21">
        <v>0.72</v>
      </c>
      <c r="C21">
        <v>0.72</v>
      </c>
      <c r="D21">
        <v>0.71</v>
      </c>
      <c r="E21">
        <v>0.98</v>
      </c>
      <c r="F21">
        <v>465</v>
      </c>
      <c r="G21">
        <f t="shared" si="1"/>
        <v>0.23024784482758623</v>
      </c>
      <c r="H21">
        <f t="shared" si="2"/>
        <v>107.0652478448276</v>
      </c>
      <c r="I21">
        <f t="shared" si="0"/>
        <v>0.83609321510355961</v>
      </c>
      <c r="J21">
        <f t="shared" si="3"/>
        <v>1.4084507042253522</v>
      </c>
      <c r="K21">
        <f t="shared" si="4"/>
        <v>0.40360687609345186</v>
      </c>
      <c r="L21">
        <f t="shared" si="5"/>
        <v>0.57047552572982985</v>
      </c>
      <c r="M21">
        <f t="shared" si="6"/>
        <v>151.33068133737748</v>
      </c>
      <c r="N21">
        <f t="shared" si="7"/>
        <v>61.078103551672562</v>
      </c>
      <c r="O21">
        <f t="shared" si="8"/>
        <v>2.8904917786283693</v>
      </c>
      <c r="P21">
        <f t="shared" si="9"/>
        <v>2.0738271004059287E-3</v>
      </c>
      <c r="Q21">
        <f t="shared" si="10"/>
        <v>6.3723337076562487E-3</v>
      </c>
      <c r="R21">
        <f t="shared" si="11"/>
        <v>0.95043327866279292</v>
      </c>
      <c r="S21">
        <f t="shared" si="12"/>
        <v>5.7562782602731928E-3</v>
      </c>
      <c r="T21">
        <f t="shared" si="13"/>
        <v>0.87110151109467615</v>
      </c>
    </row>
    <row r="23" spans="1:20" x14ac:dyDescent="0.2">
      <c r="A23" t="s">
        <v>36</v>
      </c>
      <c r="F23">
        <f t="shared" ref="F23" si="14">SUM(F2:F21)</f>
        <v>4059</v>
      </c>
      <c r="H23">
        <f>SUM(H2:H21)</f>
        <v>560.28365257764267</v>
      </c>
      <c r="M23">
        <f t="shared" ref="M23:T23" si="15">SUM(M2:M21)</f>
        <v>1056.9679741940877</v>
      </c>
      <c r="N23">
        <f t="shared" si="15"/>
        <v>280.52174741522197</v>
      </c>
      <c r="O23">
        <f t="shared" si="15"/>
        <v>35.173904226812724</v>
      </c>
      <c r="T23">
        <f t="shared" si="15"/>
        <v>18.394054376944506</v>
      </c>
    </row>
    <row r="24" spans="1:20" x14ac:dyDescent="0.2">
      <c r="G24" t="s">
        <v>40</v>
      </c>
      <c r="H24">
        <f>H23/F23</f>
        <v>0.13803489839311225</v>
      </c>
      <c r="N24" t="s">
        <v>37</v>
      </c>
      <c r="O24" t="s">
        <v>46</v>
      </c>
      <c r="T24" t="s">
        <v>45</v>
      </c>
    </row>
    <row r="25" spans="1:20" x14ac:dyDescent="0.2">
      <c r="F25" t="s">
        <v>31</v>
      </c>
      <c r="N25">
        <f>N23/M23</f>
        <v>0.26540231517337409</v>
      </c>
      <c r="O25">
        <f>O23/M23</f>
        <v>3.3278117299279542E-2</v>
      </c>
      <c r="T25">
        <f>T23/M23</f>
        <v>1.740266008624294E-2</v>
      </c>
    </row>
    <row r="26" spans="1:20" x14ac:dyDescent="0.2">
      <c r="F26" t="s">
        <v>49</v>
      </c>
    </row>
    <row r="27" spans="1:20" x14ac:dyDescent="0.2">
      <c r="F27" t="s">
        <v>48</v>
      </c>
    </row>
    <row r="28" spans="1:20" x14ac:dyDescent="0.2">
      <c r="M28" t="s">
        <v>26</v>
      </c>
      <c r="N28" t="s">
        <v>25</v>
      </c>
    </row>
    <row r="29" spans="1:20" x14ac:dyDescent="0.2">
      <c r="M29" t="s">
        <v>27</v>
      </c>
      <c r="N29" s="1">
        <f>COUNT(A2:A21)</f>
        <v>20</v>
      </c>
    </row>
    <row r="30" spans="1:20" x14ac:dyDescent="0.2">
      <c r="M30" s="1" t="s">
        <v>11</v>
      </c>
      <c r="N30" s="1">
        <f>H24</f>
        <v>0.13803489839311225</v>
      </c>
    </row>
    <row r="31" spans="1:20" x14ac:dyDescent="0.2">
      <c r="M31" t="s">
        <v>47</v>
      </c>
      <c r="N31" s="1">
        <f>N25</f>
        <v>0.26540231517337409</v>
      </c>
    </row>
    <row r="32" spans="1:20" x14ac:dyDescent="0.2">
      <c r="M32" s="1" t="s">
        <v>15</v>
      </c>
      <c r="N32" s="1">
        <f>O25-T25</f>
        <v>1.5875457213036601E-2</v>
      </c>
    </row>
    <row r="33" spans="13:14" x14ac:dyDescent="0.2">
      <c r="M33" s="1" t="s">
        <v>16</v>
      </c>
      <c r="N33" s="1">
        <f>SQRT(N32)</f>
        <v>0.12599784606506811</v>
      </c>
    </row>
    <row r="34" spans="13:14" x14ac:dyDescent="0.2">
      <c r="M34" s="1" t="s">
        <v>17</v>
      </c>
      <c r="N34" s="1">
        <f>SQRT(O25/N29)</f>
        <v>4.079100225495786E-2</v>
      </c>
    </row>
    <row r="35" spans="13:14" x14ac:dyDescent="0.2">
      <c r="M35" s="1" t="s">
        <v>18</v>
      </c>
      <c r="N35" s="1">
        <f>N31-1.96*N34</f>
        <v>0.18545195075365667</v>
      </c>
    </row>
    <row r="36" spans="13:14" x14ac:dyDescent="0.2">
      <c r="M36" s="1" t="s">
        <v>19</v>
      </c>
      <c r="N36" s="1">
        <f>N31+1.96*N34</f>
        <v>0.34535267959309152</v>
      </c>
    </row>
    <row r="37" spans="13:14" x14ac:dyDescent="0.2">
      <c r="M37" s="1" t="s">
        <v>20</v>
      </c>
      <c r="N37" s="1">
        <f>N31-1.28*N33</f>
        <v>0.10412507221008691</v>
      </c>
    </row>
    <row r="38" spans="13:14" x14ac:dyDescent="0.2">
      <c r="M38" s="1" t="s">
        <v>21</v>
      </c>
      <c r="N38" s="1">
        <f>N31+1.28*N33</f>
        <v>0.42667955813666125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workbookViewId="0">
      <selection activeCell="I32" sqref="I32"/>
    </sheetView>
  </sheetViews>
  <sheetFormatPr baseColWidth="10" defaultRowHeight="16" x14ac:dyDescent="0.2"/>
  <sheetData>
    <row r="1" spans="1:23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39</v>
      </c>
      <c r="I1" t="s">
        <v>29</v>
      </c>
      <c r="J1" t="s">
        <v>28</v>
      </c>
      <c r="K1" t="s">
        <v>50</v>
      </c>
      <c r="L1" t="s">
        <v>51</v>
      </c>
      <c r="M1" t="s">
        <v>52</v>
      </c>
      <c r="N1" t="s">
        <v>53</v>
      </c>
      <c r="O1" t="s">
        <v>32</v>
      </c>
      <c r="P1" t="s">
        <v>54</v>
      </c>
      <c r="Q1" t="s">
        <v>55</v>
      </c>
      <c r="R1" s="2" t="s">
        <v>35</v>
      </c>
      <c r="S1" s="2" t="s">
        <v>56</v>
      </c>
      <c r="T1" s="2" t="s">
        <v>57</v>
      </c>
      <c r="U1" s="2" t="s">
        <v>58</v>
      </c>
      <c r="V1" s="2" t="s">
        <v>59</v>
      </c>
      <c r="W1" s="2" t="s">
        <v>60</v>
      </c>
    </row>
    <row r="2" spans="1:23" x14ac:dyDescent="0.2">
      <c r="A2">
        <v>0.23</v>
      </c>
      <c r="B2">
        <v>0.41</v>
      </c>
      <c r="C2">
        <v>0.8</v>
      </c>
      <c r="D2">
        <v>0.69</v>
      </c>
      <c r="E2">
        <v>1</v>
      </c>
      <c r="F2">
        <v>64</v>
      </c>
      <c r="G2">
        <f>A2/((2*F2-2)/(2*F2-1))</f>
        <v>0.23182539682539682</v>
      </c>
      <c r="H2">
        <f>G2*F2</f>
        <v>14.836825396825397</v>
      </c>
      <c r="I2">
        <f>1/D2</f>
        <v>1.4492753623188408</v>
      </c>
      <c r="J2">
        <f>1-D2^2*(1-B2)</f>
        <v>0.71910099999999999</v>
      </c>
      <c r="K2">
        <f>SQRT((D2^2-(1-J2))/J2)</f>
        <v>0.52101001648789402</v>
      </c>
      <c r="L2">
        <f>1/K2</f>
        <v>1.9193488960940841</v>
      </c>
      <c r="M2">
        <f t="shared" ref="M2:M21" si="0">G2/SQRT(B2*C2)</f>
        <v>0.40478470117915433</v>
      </c>
      <c r="N2">
        <f>(M2*L2)/(SQRT((L2^2-1)*M2^2+1))</f>
        <v>0.64749012039013309</v>
      </c>
      <c r="O2">
        <f t="shared" ref="O2:O21" si="1">G2/N2</f>
        <v>0.35803696384697692</v>
      </c>
      <c r="P2">
        <f t="shared" ref="P2:P21" si="2">O2^2*F2</f>
        <v>8.2041899187687335</v>
      </c>
      <c r="Q2">
        <f>P2*N2</f>
        <v>5.3121319182070836</v>
      </c>
      <c r="R2">
        <f>P2*(N2-$Q$25)^2</f>
        <v>0.94962019476202986</v>
      </c>
      <c r="S2">
        <f>(1-$H$25^2)^2/(F2-1)</f>
        <v>1.5273901183942078E-2</v>
      </c>
      <c r="T2">
        <f>S2/O2^2</f>
        <v>0.11915005447838273</v>
      </c>
      <c r="U2">
        <f>1/((L2^2-1)*G2^2+1)</f>
        <v>0.87394185217809917</v>
      </c>
      <c r="V2">
        <f>T2*U2^2</f>
        <v>9.1003756720970122E-2</v>
      </c>
      <c r="W2">
        <f>P2*V2</f>
        <v>0.74661210346026541</v>
      </c>
    </row>
    <row r="3" spans="1:23" x14ac:dyDescent="0.2">
      <c r="A3">
        <v>0.17</v>
      </c>
      <c r="B3">
        <v>0.79</v>
      </c>
      <c r="C3">
        <v>0.47</v>
      </c>
      <c r="D3">
        <v>0.64</v>
      </c>
      <c r="E3">
        <v>0.92</v>
      </c>
      <c r="F3">
        <v>222</v>
      </c>
      <c r="G3">
        <f t="shared" ref="G3:G21" si="3">A3/((2*F3-2)/(2*F3-1))</f>
        <v>0.17038461538461538</v>
      </c>
      <c r="H3">
        <f t="shared" ref="H3:H21" si="4">G3*F3</f>
        <v>37.825384615384614</v>
      </c>
      <c r="I3">
        <f t="shared" ref="I3:I21" si="5">1/D3</f>
        <v>1.5625</v>
      </c>
      <c r="J3">
        <f t="shared" ref="J3:J21" si="6">1-D3^2*(1-B3)</f>
        <v>0.91398400000000002</v>
      </c>
      <c r="K3">
        <f t="shared" ref="K3:K21" si="7">SQRT((D3^2-(1-J3))/J3)</f>
        <v>0.59500994290399134</v>
      </c>
      <c r="L3">
        <f t="shared" ref="L3:L20" si="8">1/K3</f>
        <v>1.6806441840608979</v>
      </c>
      <c r="M3">
        <f t="shared" si="0"/>
        <v>0.27961978898696388</v>
      </c>
      <c r="N3">
        <f t="shared" ref="N3:N21" si="9">(M3*L3)/(SQRT((L3^2-1)*M3^2+1))</f>
        <v>0.43962826994479887</v>
      </c>
      <c r="O3">
        <f t="shared" si="1"/>
        <v>0.38756519321655414</v>
      </c>
      <c r="P3">
        <f t="shared" si="2"/>
        <v>33.345904936442658</v>
      </c>
      <c r="Q3">
        <f t="shared" ref="Q3:Q21" si="10">P3*N3</f>
        <v>14.659802496952015</v>
      </c>
      <c r="R3">
        <f t="shared" ref="R3:R21" si="11">P3*(N3-$Q$25)^2</f>
        <v>0.58415740709876462</v>
      </c>
      <c r="S3">
        <f t="shared" ref="S3:S21" si="12">(1-$H$25^2)^2/(F3-1)</f>
        <v>4.3540985275490988E-3</v>
      </c>
      <c r="T3">
        <f t="shared" ref="T3:T21" si="13">S3/O3^2</f>
        <v>2.8987363664541712E-2</v>
      </c>
      <c r="U3">
        <f t="shared" ref="U3:U21" si="14">1/((L3^2-1)*G3^2+1)</f>
        <v>0.94969576296022162</v>
      </c>
      <c r="V3">
        <f t="shared" ref="V3:V21" si="15">T3*U3^2</f>
        <v>2.6144342233871059E-2</v>
      </c>
      <c r="W3">
        <f t="shared" ref="W3:W21" si="16">P3*V3</f>
        <v>0.87180675075648717</v>
      </c>
    </row>
    <row r="4" spans="1:23" x14ac:dyDescent="0.2">
      <c r="A4">
        <v>0.17</v>
      </c>
      <c r="B4">
        <v>0.26</v>
      </c>
      <c r="C4">
        <v>0.47</v>
      </c>
      <c r="D4">
        <v>0.79</v>
      </c>
      <c r="E4">
        <v>0.94</v>
      </c>
      <c r="F4">
        <v>115</v>
      </c>
      <c r="G4">
        <f t="shared" si="3"/>
        <v>0.17074561403508773</v>
      </c>
      <c r="H4">
        <f t="shared" si="4"/>
        <v>19.635745614035088</v>
      </c>
      <c r="I4">
        <f t="shared" si="5"/>
        <v>1.2658227848101264</v>
      </c>
      <c r="J4">
        <f t="shared" si="6"/>
        <v>0.53816599999999992</v>
      </c>
      <c r="K4">
        <f t="shared" si="7"/>
        <v>0.54910530175416616</v>
      </c>
      <c r="L4">
        <f t="shared" si="8"/>
        <v>1.8211443175023265</v>
      </c>
      <c r="M4">
        <f t="shared" si="0"/>
        <v>0.48844307171482365</v>
      </c>
      <c r="N4">
        <f t="shared" si="9"/>
        <v>0.71386735719600236</v>
      </c>
      <c r="O4">
        <f t="shared" si="1"/>
        <v>0.23918394967064885</v>
      </c>
      <c r="P4">
        <f t="shared" si="2"/>
        <v>6.5790306047059204</v>
      </c>
      <c r="Q4">
        <f t="shared" si="10"/>
        <v>4.696555190693033</v>
      </c>
      <c r="R4">
        <f t="shared" si="11"/>
        <v>1.0876425695619514</v>
      </c>
      <c r="S4">
        <f t="shared" si="12"/>
        <v>8.4408401279679902E-3</v>
      </c>
      <c r="T4">
        <f t="shared" si="13"/>
        <v>0.14754401872245257</v>
      </c>
      <c r="U4">
        <f t="shared" si="14"/>
        <v>0.93673538976702198</v>
      </c>
      <c r="V4">
        <f t="shared" si="15"/>
        <v>0.12946592083902089</v>
      </c>
      <c r="W4">
        <f t="shared" si="16"/>
        <v>0.85176025546635248</v>
      </c>
    </row>
    <row r="5" spans="1:23" x14ac:dyDescent="0.2">
      <c r="A5">
        <v>0.2</v>
      </c>
      <c r="B5">
        <v>0.83</v>
      </c>
      <c r="C5">
        <v>0.32</v>
      </c>
      <c r="D5">
        <v>0.76</v>
      </c>
      <c r="E5">
        <v>0.87</v>
      </c>
      <c r="F5">
        <v>44</v>
      </c>
      <c r="G5">
        <f t="shared" si="3"/>
        <v>0.20232558139534884</v>
      </c>
      <c r="H5">
        <f t="shared" si="4"/>
        <v>8.902325581395349</v>
      </c>
      <c r="I5">
        <f t="shared" si="5"/>
        <v>1.3157894736842106</v>
      </c>
      <c r="J5">
        <f t="shared" si="6"/>
        <v>0.90180799999999994</v>
      </c>
      <c r="K5">
        <f t="shared" si="7"/>
        <v>0.72911426739893426</v>
      </c>
      <c r="L5">
        <f t="shared" si="8"/>
        <v>1.3715271319095597</v>
      </c>
      <c r="M5">
        <f t="shared" si="0"/>
        <v>0.3925877659095986</v>
      </c>
      <c r="N5">
        <f t="shared" si="9"/>
        <v>0.50523181185867894</v>
      </c>
      <c r="O5">
        <f t="shared" si="1"/>
        <v>0.40046089071671997</v>
      </c>
      <c r="P5">
        <f t="shared" si="2"/>
        <v>7.056232699719664</v>
      </c>
      <c r="Q5">
        <f t="shared" si="10"/>
        <v>3.5650332317758235</v>
      </c>
      <c r="R5">
        <f t="shared" si="11"/>
        <v>0.27651955562147401</v>
      </c>
      <c r="S5">
        <f t="shared" si="12"/>
        <v>2.2378041269496531E-2</v>
      </c>
      <c r="T5">
        <f t="shared" si="13"/>
        <v>0.13954100690258781</v>
      </c>
      <c r="U5">
        <f t="shared" si="14"/>
        <v>0.96518775508689458</v>
      </c>
      <c r="V5">
        <f t="shared" si="15"/>
        <v>0.12999464417233944</v>
      </c>
      <c r="W5">
        <f t="shared" si="16"/>
        <v>0.91727245899728382</v>
      </c>
    </row>
    <row r="6" spans="1:23" x14ac:dyDescent="0.2">
      <c r="A6">
        <v>0.12</v>
      </c>
      <c r="B6">
        <v>0.56000000000000005</v>
      </c>
      <c r="C6">
        <v>0.64</v>
      </c>
      <c r="D6">
        <v>0.78</v>
      </c>
      <c r="E6">
        <v>1.05</v>
      </c>
      <c r="F6">
        <v>214</v>
      </c>
      <c r="G6">
        <f t="shared" si="3"/>
        <v>0.12028169014084507</v>
      </c>
      <c r="H6">
        <f t="shared" si="4"/>
        <v>25.740281690140844</v>
      </c>
      <c r="I6">
        <f t="shared" si="5"/>
        <v>1.2820512820512819</v>
      </c>
      <c r="J6">
        <f t="shared" si="6"/>
        <v>0.73230400000000007</v>
      </c>
      <c r="K6">
        <f t="shared" si="7"/>
        <v>0.68209193267392254</v>
      </c>
      <c r="L6">
        <f t="shared" si="8"/>
        <v>1.466078034495762</v>
      </c>
      <c r="M6">
        <f t="shared" si="0"/>
        <v>0.20091646178979788</v>
      </c>
      <c r="N6">
        <f t="shared" si="9"/>
        <v>0.28795473173522967</v>
      </c>
      <c r="O6">
        <f t="shared" si="1"/>
        <v>0.41771041377240636</v>
      </c>
      <c r="P6">
        <f t="shared" si="2"/>
        <v>37.339145811617797</v>
      </c>
      <c r="Q6">
        <f t="shared" si="10"/>
        <v>10.751983715407027</v>
      </c>
      <c r="R6">
        <f t="shared" si="11"/>
        <v>1.3933722759108508E-2</v>
      </c>
      <c r="S6">
        <f t="shared" si="12"/>
        <v>4.5176327445462482E-3</v>
      </c>
      <c r="T6">
        <f t="shared" si="13"/>
        <v>2.5891685155585237E-2</v>
      </c>
      <c r="U6">
        <f t="shared" si="14"/>
        <v>0.98364306125063694</v>
      </c>
      <c r="V6">
        <f t="shared" si="15"/>
        <v>2.5051595045169812E-2</v>
      </c>
      <c r="W6">
        <f t="shared" si="16"/>
        <v>0.93540516020519748</v>
      </c>
    </row>
    <row r="7" spans="1:23" x14ac:dyDescent="0.2">
      <c r="A7">
        <v>0.42</v>
      </c>
      <c r="B7">
        <v>0.86</v>
      </c>
      <c r="C7">
        <v>0.82</v>
      </c>
      <c r="D7">
        <v>0.77</v>
      </c>
      <c r="E7">
        <v>0.92</v>
      </c>
      <c r="F7">
        <v>66</v>
      </c>
      <c r="G7">
        <f t="shared" si="3"/>
        <v>0.42323076923076924</v>
      </c>
      <c r="H7">
        <f t="shared" si="4"/>
        <v>27.933230769230772</v>
      </c>
      <c r="I7">
        <f t="shared" si="5"/>
        <v>1.2987012987012987</v>
      </c>
      <c r="J7">
        <f t="shared" si="6"/>
        <v>0.91699399999999998</v>
      </c>
      <c r="K7">
        <f t="shared" si="7"/>
        <v>0.74568722652332076</v>
      </c>
      <c r="L7">
        <f t="shared" si="8"/>
        <v>1.3410448300990521</v>
      </c>
      <c r="M7">
        <f t="shared" si="0"/>
        <v>0.50398902813056434</v>
      </c>
      <c r="N7">
        <f t="shared" si="9"/>
        <v>0.61626578306115498</v>
      </c>
      <c r="O7">
        <f t="shared" si="1"/>
        <v>0.68676662061046156</v>
      </c>
      <c r="P7">
        <f t="shared" si="2"/>
        <v>31.128793818191099</v>
      </c>
      <c r="Q7">
        <f t="shared" si="10"/>
        <v>19.183610498116778</v>
      </c>
      <c r="R7">
        <f t="shared" si="11"/>
        <v>2.9720839027166179</v>
      </c>
      <c r="S7">
        <f t="shared" si="12"/>
        <v>1.4803934993666936E-2</v>
      </c>
      <c r="T7">
        <f t="shared" si="13"/>
        <v>3.1387650780450152E-2</v>
      </c>
      <c r="U7">
        <f t="shared" si="14"/>
        <v>0.87488065001144377</v>
      </c>
      <c r="V7">
        <f t="shared" si="15"/>
        <v>2.4024614873298475E-2</v>
      </c>
      <c r="W7">
        <f t="shared" si="16"/>
        <v>0.74785728295235554</v>
      </c>
    </row>
    <row r="8" spans="1:23" x14ac:dyDescent="0.2">
      <c r="A8">
        <v>0.02</v>
      </c>
      <c r="B8">
        <v>0.61</v>
      </c>
      <c r="C8">
        <v>0.69</v>
      </c>
      <c r="D8">
        <v>0.74</v>
      </c>
      <c r="E8">
        <v>0.97</v>
      </c>
      <c r="F8">
        <v>202</v>
      </c>
      <c r="G8">
        <f t="shared" si="3"/>
        <v>2.0049751243781097E-2</v>
      </c>
      <c r="H8">
        <f t="shared" si="4"/>
        <v>4.0500497512437814</v>
      </c>
      <c r="I8">
        <f t="shared" si="5"/>
        <v>1.3513513513513513</v>
      </c>
      <c r="J8">
        <f t="shared" si="6"/>
        <v>0.78643600000000002</v>
      </c>
      <c r="K8">
        <f t="shared" si="7"/>
        <v>0.65172584591525651</v>
      </c>
      <c r="L8">
        <f t="shared" si="8"/>
        <v>1.5343875131968134</v>
      </c>
      <c r="M8">
        <f t="shared" si="0"/>
        <v>3.0904343750827071E-2</v>
      </c>
      <c r="N8">
        <f t="shared" si="9"/>
        <v>4.7388600345267436E-2</v>
      </c>
      <c r="O8">
        <f t="shared" si="1"/>
        <v>0.42309228585991376</v>
      </c>
      <c r="P8">
        <f t="shared" si="2"/>
        <v>36.159430635541732</v>
      </c>
      <c r="Q8">
        <f t="shared" si="10"/>
        <v>1.7135448071001067</v>
      </c>
      <c r="R8">
        <f t="shared" si="11"/>
        <v>2.4421903276804202</v>
      </c>
      <c r="S8">
        <f t="shared" si="12"/>
        <v>4.7873421621310985E-3</v>
      </c>
      <c r="T8">
        <f t="shared" si="13"/>
        <v>2.6743870126095359E-2</v>
      </c>
      <c r="U8">
        <f t="shared" si="14"/>
        <v>0.99945585966737405</v>
      </c>
      <c r="V8">
        <f t="shared" si="15"/>
        <v>2.6714773207880901E-2</v>
      </c>
      <c r="W8">
        <f t="shared" si="16"/>
        <v>0.9659909887545981</v>
      </c>
    </row>
    <row r="9" spans="1:23" x14ac:dyDescent="0.2">
      <c r="A9">
        <v>0.21</v>
      </c>
      <c r="B9">
        <v>0.76</v>
      </c>
      <c r="C9">
        <v>0.63</v>
      </c>
      <c r="D9">
        <v>0.75</v>
      </c>
      <c r="E9">
        <v>1.01</v>
      </c>
      <c r="F9">
        <v>92</v>
      </c>
      <c r="G9">
        <f t="shared" si="3"/>
        <v>0.21115384615384614</v>
      </c>
      <c r="H9">
        <f t="shared" si="4"/>
        <v>19.426153846153845</v>
      </c>
      <c r="I9">
        <f t="shared" si="5"/>
        <v>1.3333333333333333</v>
      </c>
      <c r="J9">
        <f t="shared" si="6"/>
        <v>0.86499999999999999</v>
      </c>
      <c r="K9">
        <f t="shared" si="7"/>
        <v>0.70300757690027127</v>
      </c>
      <c r="L9">
        <f t="shared" si="8"/>
        <v>1.42245977548242</v>
      </c>
      <c r="M9">
        <f t="shared" si="0"/>
        <v>0.30515600850560376</v>
      </c>
      <c r="N9">
        <f t="shared" si="9"/>
        <v>0.41475887263131866</v>
      </c>
      <c r="O9">
        <f t="shared" si="1"/>
        <v>0.50910025098255562</v>
      </c>
      <c r="P9">
        <f t="shared" si="2"/>
        <v>23.844842030646106</v>
      </c>
      <c r="Q9">
        <f t="shared" si="10"/>
        <v>9.8898597987026626</v>
      </c>
      <c r="R9">
        <f t="shared" si="11"/>
        <v>0.27548836494934753</v>
      </c>
      <c r="S9">
        <f t="shared" si="12"/>
        <v>1.0574239281190669E-2</v>
      </c>
      <c r="T9">
        <f t="shared" si="13"/>
        <v>4.0798341738612957E-2</v>
      </c>
      <c r="U9">
        <f t="shared" si="14"/>
        <v>0.95636224937979608</v>
      </c>
      <c r="V9">
        <f t="shared" si="15"/>
        <v>3.7315336389639374E-2</v>
      </c>
      <c r="W9">
        <f t="shared" si="16"/>
        <v>0.88977830153137105</v>
      </c>
    </row>
    <row r="10" spans="1:23" x14ac:dyDescent="0.2">
      <c r="A10">
        <v>0.05</v>
      </c>
      <c r="B10">
        <v>0.69</v>
      </c>
      <c r="C10">
        <v>0.6</v>
      </c>
      <c r="D10">
        <v>0.78</v>
      </c>
      <c r="E10">
        <v>0.91</v>
      </c>
      <c r="F10">
        <v>204</v>
      </c>
      <c r="G10">
        <f t="shared" si="3"/>
        <v>5.012315270935961E-2</v>
      </c>
      <c r="H10">
        <f t="shared" si="4"/>
        <v>10.22512315270936</v>
      </c>
      <c r="I10">
        <f t="shared" si="5"/>
        <v>1.2820512820512819</v>
      </c>
      <c r="J10">
        <f t="shared" si="6"/>
        <v>0.81139600000000001</v>
      </c>
      <c r="K10">
        <f t="shared" si="7"/>
        <v>0.71928783753206826</v>
      </c>
      <c r="L10">
        <f t="shared" si="8"/>
        <v>1.3902640192430844</v>
      </c>
      <c r="M10">
        <f t="shared" si="0"/>
        <v>7.7900134842735586E-2</v>
      </c>
      <c r="N10">
        <f t="shared" si="9"/>
        <v>0.10799651050969172</v>
      </c>
      <c r="O10">
        <f t="shared" si="1"/>
        <v>0.46411826153273261</v>
      </c>
      <c r="P10">
        <f t="shared" si="2"/>
        <v>43.942775180385865</v>
      </c>
      <c r="Q10">
        <f t="shared" si="10"/>
        <v>4.7456663815935629</v>
      </c>
      <c r="R10">
        <f t="shared" si="11"/>
        <v>1.7450036989046322</v>
      </c>
      <c r="S10">
        <f t="shared" si="12"/>
        <v>4.7401762294992655E-3</v>
      </c>
      <c r="T10">
        <f t="shared" si="13"/>
        <v>2.2005800654335436E-2</v>
      </c>
      <c r="U10">
        <f t="shared" si="14"/>
        <v>0.99766189219998969</v>
      </c>
      <c r="V10">
        <f t="shared" si="15"/>
        <v>2.1903017086193261E-2</v>
      </c>
      <c r="W10">
        <f t="shared" si="16"/>
        <v>0.96247935559074083</v>
      </c>
    </row>
    <row r="11" spans="1:23" x14ac:dyDescent="0.2">
      <c r="A11">
        <v>7.0000000000000007E-2</v>
      </c>
      <c r="B11">
        <v>0.66</v>
      </c>
      <c r="C11">
        <v>0.52</v>
      </c>
      <c r="D11">
        <v>0.75</v>
      </c>
      <c r="E11">
        <v>1.01</v>
      </c>
      <c r="F11">
        <v>271</v>
      </c>
      <c r="G11">
        <f t="shared" si="3"/>
        <v>7.0129629629629639E-2</v>
      </c>
      <c r="H11">
        <f t="shared" si="4"/>
        <v>19.005129629629632</v>
      </c>
      <c r="I11">
        <f t="shared" si="5"/>
        <v>1.3333333333333333</v>
      </c>
      <c r="J11">
        <f t="shared" si="6"/>
        <v>0.80875000000000008</v>
      </c>
      <c r="K11">
        <f t="shared" si="7"/>
        <v>0.67752618478289139</v>
      </c>
      <c r="L11">
        <f t="shared" si="8"/>
        <v>1.4759577156718202</v>
      </c>
      <c r="M11">
        <f t="shared" si="0"/>
        <v>0.11970930397916232</v>
      </c>
      <c r="N11">
        <f t="shared" si="9"/>
        <v>0.17521260636343591</v>
      </c>
      <c r="O11">
        <f t="shared" si="1"/>
        <v>0.40025447417957349</v>
      </c>
      <c r="P11">
        <f t="shared" si="2"/>
        <v>43.415187551307824</v>
      </c>
      <c r="Q11">
        <f t="shared" si="10"/>
        <v>7.6068881666220411</v>
      </c>
      <c r="R11">
        <f t="shared" si="11"/>
        <v>0.75715002587794178</v>
      </c>
      <c r="S11">
        <f t="shared" si="12"/>
        <v>3.5639102762531514E-3</v>
      </c>
      <c r="T11">
        <f t="shared" si="13"/>
        <v>2.2246124900950934E-2</v>
      </c>
      <c r="U11">
        <f t="shared" si="14"/>
        <v>0.99423758064619683</v>
      </c>
      <c r="V11">
        <f t="shared" si="15"/>
        <v>2.1990480592782701E-2</v>
      </c>
      <c r="W11">
        <f t="shared" si="16"/>
        <v>0.95472083927905582</v>
      </c>
    </row>
    <row r="12" spans="1:23" x14ac:dyDescent="0.2">
      <c r="A12">
        <v>0.09</v>
      </c>
      <c r="B12">
        <v>0.66</v>
      </c>
      <c r="C12">
        <v>0.66</v>
      </c>
      <c r="D12">
        <v>0.75</v>
      </c>
      <c r="E12">
        <v>0.96</v>
      </c>
      <c r="F12">
        <v>221</v>
      </c>
      <c r="G12">
        <f t="shared" si="3"/>
        <v>9.0204545454545454E-2</v>
      </c>
      <c r="H12">
        <f t="shared" si="4"/>
        <v>19.935204545454546</v>
      </c>
      <c r="I12">
        <f t="shared" si="5"/>
        <v>1.3333333333333333</v>
      </c>
      <c r="J12">
        <f t="shared" si="6"/>
        <v>0.80875000000000008</v>
      </c>
      <c r="K12">
        <f t="shared" si="7"/>
        <v>0.67752618478289139</v>
      </c>
      <c r="L12">
        <f t="shared" si="8"/>
        <v>1.4759577156718202</v>
      </c>
      <c r="M12">
        <f t="shared" si="0"/>
        <v>0.13667355371900825</v>
      </c>
      <c r="N12">
        <f t="shared" si="9"/>
        <v>0.1995400966076761</v>
      </c>
      <c r="O12">
        <f t="shared" si="1"/>
        <v>0.4520622520891141</v>
      </c>
      <c r="P12">
        <f t="shared" si="2"/>
        <v>45.163621827817863</v>
      </c>
      <c r="Q12">
        <f t="shared" si="10"/>
        <v>9.0119534626753257</v>
      </c>
      <c r="R12">
        <f t="shared" si="11"/>
        <v>0.52417881647869491</v>
      </c>
      <c r="S12">
        <f t="shared" si="12"/>
        <v>4.3738898844925041E-3</v>
      </c>
      <c r="T12">
        <f t="shared" si="13"/>
        <v>2.1402837623564153E-2</v>
      </c>
      <c r="U12">
        <f t="shared" si="14"/>
        <v>0.99050218128035938</v>
      </c>
      <c r="V12">
        <f t="shared" si="15"/>
        <v>2.0998207799066283E-2</v>
      </c>
      <c r="W12">
        <f t="shared" si="16"/>
        <v>0.94835511609896528</v>
      </c>
    </row>
    <row r="13" spans="1:23" x14ac:dyDescent="0.2">
      <c r="A13">
        <v>0.27</v>
      </c>
      <c r="B13">
        <v>0.79</v>
      </c>
      <c r="C13">
        <v>0.64</v>
      </c>
      <c r="D13">
        <v>0.66</v>
      </c>
      <c r="E13">
        <v>1.01</v>
      </c>
      <c r="F13">
        <v>186</v>
      </c>
      <c r="G13">
        <f t="shared" si="3"/>
        <v>0.27072972972972975</v>
      </c>
      <c r="H13">
        <f t="shared" si="4"/>
        <v>50.355729729729731</v>
      </c>
      <c r="I13">
        <f t="shared" si="5"/>
        <v>1.5151515151515151</v>
      </c>
      <c r="J13">
        <f t="shared" si="6"/>
        <v>0.908524</v>
      </c>
      <c r="K13">
        <f t="shared" si="7"/>
        <v>0.61544504433375546</v>
      </c>
      <c r="L13">
        <f t="shared" si="8"/>
        <v>1.6248404454739596</v>
      </c>
      <c r="M13">
        <f t="shared" si="0"/>
        <v>0.38074342917486426</v>
      </c>
      <c r="N13">
        <f t="shared" si="9"/>
        <v>0.55606441060640999</v>
      </c>
      <c r="O13">
        <f t="shared" si="1"/>
        <v>0.48686757247148471</v>
      </c>
      <c r="P13">
        <f t="shared" si="2"/>
        <v>44.089446161115411</v>
      </c>
      <c r="Q13">
        <f t="shared" si="10"/>
        <v>24.516571893543688</v>
      </c>
      <c r="R13">
        <f t="shared" si="11"/>
        <v>2.7290281609424882</v>
      </c>
      <c r="S13">
        <f t="shared" si="12"/>
        <v>5.201382565342437E-3</v>
      </c>
      <c r="T13">
        <f t="shared" si="13"/>
        <v>2.1943055342957336E-2</v>
      </c>
      <c r="U13">
        <f t="shared" si="14"/>
        <v>0.8926890257056449</v>
      </c>
      <c r="V13">
        <f t="shared" si="15"/>
        <v>1.7486282487283237E-2</v>
      </c>
      <c r="W13">
        <f t="shared" si="16"/>
        <v>0.77096051028112955</v>
      </c>
    </row>
    <row r="14" spans="1:23" x14ac:dyDescent="0.2">
      <c r="A14">
        <v>0.19</v>
      </c>
      <c r="B14">
        <v>0.64</v>
      </c>
      <c r="C14">
        <v>0.31</v>
      </c>
      <c r="D14">
        <v>0.75</v>
      </c>
      <c r="E14">
        <v>1.04</v>
      </c>
      <c r="F14">
        <v>504</v>
      </c>
      <c r="G14">
        <f t="shared" si="3"/>
        <v>0.19018886679920477</v>
      </c>
      <c r="H14">
        <f t="shared" si="4"/>
        <v>95.85518886679921</v>
      </c>
      <c r="I14">
        <f t="shared" si="5"/>
        <v>1.3333333333333333</v>
      </c>
      <c r="J14">
        <f t="shared" si="6"/>
        <v>0.79749999999999999</v>
      </c>
      <c r="K14">
        <f t="shared" si="7"/>
        <v>0.67187101314702513</v>
      </c>
      <c r="L14">
        <f t="shared" si="8"/>
        <v>1.4883809249576461</v>
      </c>
      <c r="M14">
        <f t="shared" si="0"/>
        <v>0.42698661079501543</v>
      </c>
      <c r="N14">
        <f t="shared" si="9"/>
        <v>0.57500258577389807</v>
      </c>
      <c r="O14">
        <f t="shared" si="1"/>
        <v>0.33076175917231554</v>
      </c>
      <c r="P14">
        <f t="shared" si="2"/>
        <v>55.13928403070549</v>
      </c>
      <c r="Q14">
        <f t="shared" si="10"/>
        <v>31.70523089537706</v>
      </c>
      <c r="R14">
        <f t="shared" si="11"/>
        <v>3.9523580313562094</v>
      </c>
      <c r="S14">
        <f t="shared" si="12"/>
        <v>1.9130333490822084E-3</v>
      </c>
      <c r="T14">
        <f t="shared" si="13"/>
        <v>1.7486059619499502E-2</v>
      </c>
      <c r="U14">
        <f t="shared" si="14"/>
        <v>0.95789221638885691</v>
      </c>
      <c r="V14">
        <f t="shared" si="15"/>
        <v>1.6044465118164992E-2</v>
      </c>
      <c r="W14">
        <f t="shared" si="16"/>
        <v>0.88468031927124624</v>
      </c>
    </row>
    <row r="15" spans="1:23" x14ac:dyDescent="0.2">
      <c r="A15">
        <v>0.18</v>
      </c>
      <c r="B15">
        <v>0.63</v>
      </c>
      <c r="C15">
        <v>0.46</v>
      </c>
      <c r="D15">
        <v>0.75</v>
      </c>
      <c r="E15">
        <v>1</v>
      </c>
      <c r="F15">
        <v>281</v>
      </c>
      <c r="G15">
        <f t="shared" si="3"/>
        <v>0.18032142857142858</v>
      </c>
      <c r="H15">
        <f t="shared" si="4"/>
        <v>50.670321428571427</v>
      </c>
      <c r="I15">
        <f t="shared" si="5"/>
        <v>1.3333333333333333</v>
      </c>
      <c r="J15">
        <f t="shared" si="6"/>
        <v>0.791875</v>
      </c>
      <c r="K15">
        <f t="shared" si="7"/>
        <v>0.66896473162244974</v>
      </c>
      <c r="L15">
        <f t="shared" si="8"/>
        <v>1.4948471163415233</v>
      </c>
      <c r="M15">
        <f t="shared" si="0"/>
        <v>0.33496401134439963</v>
      </c>
      <c r="N15">
        <f t="shared" si="9"/>
        <v>0.46927202808129798</v>
      </c>
      <c r="O15">
        <f t="shared" si="1"/>
        <v>0.38425778180025938</v>
      </c>
      <c r="P15">
        <f t="shared" si="2"/>
        <v>41.490786047609667</v>
      </c>
      <c r="Q15">
        <f t="shared" si="10"/>
        <v>19.470465315249012</v>
      </c>
      <c r="R15">
        <f t="shared" si="11"/>
        <v>1.0888811688877831</v>
      </c>
      <c r="S15">
        <f t="shared" si="12"/>
        <v>3.4366277663869676E-3</v>
      </c>
      <c r="T15">
        <f t="shared" si="13"/>
        <v>2.327486399622869E-2</v>
      </c>
      <c r="U15">
        <f t="shared" si="14"/>
        <v>0.96140628232406733</v>
      </c>
      <c r="V15">
        <f t="shared" si="15"/>
        <v>2.1513004265272362E-2</v>
      </c>
      <c r="W15">
        <f t="shared" si="16"/>
        <v>0.89259145721172972</v>
      </c>
    </row>
    <row r="16" spans="1:23" x14ac:dyDescent="0.2">
      <c r="A16">
        <v>-0.05</v>
      </c>
      <c r="B16">
        <v>0.73</v>
      </c>
      <c r="C16">
        <v>0.4</v>
      </c>
      <c r="D16">
        <v>0.8</v>
      </c>
      <c r="E16">
        <v>1.04</v>
      </c>
      <c r="F16">
        <v>91</v>
      </c>
      <c r="G16">
        <f t="shared" si="3"/>
        <v>-5.0277777777777782E-2</v>
      </c>
      <c r="H16">
        <f t="shared" si="4"/>
        <v>-4.575277777777778</v>
      </c>
      <c r="I16">
        <f t="shared" si="5"/>
        <v>1.25</v>
      </c>
      <c r="J16">
        <f t="shared" si="6"/>
        <v>0.82719999999999994</v>
      </c>
      <c r="K16">
        <f t="shared" si="7"/>
        <v>0.75152971013955083</v>
      </c>
      <c r="L16">
        <f t="shared" si="8"/>
        <v>1.330619384048451</v>
      </c>
      <c r="M16">
        <f t="shared" si="0"/>
        <v>-9.3043202115115686E-2</v>
      </c>
      <c r="N16">
        <f t="shared" si="9"/>
        <v>-0.12339421178792753</v>
      </c>
      <c r="O16">
        <f t="shared" si="1"/>
        <v>0.40745653340845595</v>
      </c>
      <c r="P16">
        <f t="shared" si="2"/>
        <v>15.107895222168493</v>
      </c>
      <c r="Q16">
        <f t="shared" si="10"/>
        <v>-1.8642268227140775</v>
      </c>
      <c r="R16">
        <f t="shared" si="11"/>
        <v>2.8021157707647348</v>
      </c>
      <c r="S16">
        <f t="shared" si="12"/>
        <v>1.0691730828759453E-2</v>
      </c>
      <c r="T16">
        <f t="shared" si="13"/>
        <v>6.4399937324787687E-2</v>
      </c>
      <c r="U16">
        <f t="shared" si="14"/>
        <v>0.998055953250782</v>
      </c>
      <c r="V16">
        <f t="shared" si="15"/>
        <v>6.4149787735002572E-2</v>
      </c>
      <c r="W16">
        <f t="shared" si="16"/>
        <v>0.96916827162476837</v>
      </c>
    </row>
    <row r="17" spans="1:23" x14ac:dyDescent="0.2">
      <c r="A17">
        <v>0.12</v>
      </c>
      <c r="B17">
        <v>0.82</v>
      </c>
      <c r="C17">
        <v>0.32</v>
      </c>
      <c r="D17">
        <v>0.76</v>
      </c>
      <c r="E17">
        <v>0.86</v>
      </c>
      <c r="F17">
        <v>70</v>
      </c>
      <c r="G17">
        <f t="shared" si="3"/>
        <v>0.1208695652173913</v>
      </c>
      <c r="H17">
        <f t="shared" si="4"/>
        <v>8.46086956521739</v>
      </c>
      <c r="I17">
        <f t="shared" si="5"/>
        <v>1.3157894736842106</v>
      </c>
      <c r="J17">
        <f t="shared" si="6"/>
        <v>0.89603199999999994</v>
      </c>
      <c r="K17">
        <f t="shared" si="7"/>
        <v>0.72704075862693684</v>
      </c>
      <c r="L17">
        <f t="shared" si="8"/>
        <v>1.3754387056491362</v>
      </c>
      <c r="M17">
        <f t="shared" si="0"/>
        <v>0.23595818372300262</v>
      </c>
      <c r="N17">
        <f t="shared" si="9"/>
        <v>0.31677670251108064</v>
      </c>
      <c r="O17">
        <f t="shared" si="1"/>
        <v>0.38156077848926834</v>
      </c>
      <c r="P17">
        <f t="shared" si="2"/>
        <v>10.191203937693555</v>
      </c>
      <c r="Q17">
        <f t="shared" si="10"/>
        <v>3.228335978000505</v>
      </c>
      <c r="R17">
        <f t="shared" si="11"/>
        <v>9.2061797830467521E-4</v>
      </c>
      <c r="S17">
        <f t="shared" si="12"/>
        <v>1.3945735863599288E-2</v>
      </c>
      <c r="T17">
        <f t="shared" si="13"/>
        <v>9.5788634632394717E-2</v>
      </c>
      <c r="U17">
        <f t="shared" si="14"/>
        <v>0.98713840467576985</v>
      </c>
      <c r="V17">
        <f t="shared" si="15"/>
        <v>9.3340490738488033E-2</v>
      </c>
      <c r="W17">
        <f t="shared" si="16"/>
        <v>0.95125197676032802</v>
      </c>
    </row>
    <row r="18" spans="1:23" x14ac:dyDescent="0.2">
      <c r="A18">
        <v>0.02</v>
      </c>
      <c r="B18">
        <v>0.79</v>
      </c>
      <c r="C18">
        <v>0.76</v>
      </c>
      <c r="D18">
        <v>0.71</v>
      </c>
      <c r="E18">
        <v>1</v>
      </c>
      <c r="F18">
        <v>485</v>
      </c>
      <c r="G18">
        <f t="shared" si="3"/>
        <v>2.0020661157024795E-2</v>
      </c>
      <c r="H18">
        <f t="shared" si="4"/>
        <v>9.7100206611570261</v>
      </c>
      <c r="I18">
        <f t="shared" si="5"/>
        <v>1.4084507042253522</v>
      </c>
      <c r="J18">
        <f t="shared" si="6"/>
        <v>0.89413900000000002</v>
      </c>
      <c r="K18">
        <f t="shared" si="7"/>
        <v>0.66737414169595455</v>
      </c>
      <c r="L18">
        <f t="shared" si="8"/>
        <v>1.4984098686514358</v>
      </c>
      <c r="M18">
        <f t="shared" si="0"/>
        <v>2.5837951198303597E-2</v>
      </c>
      <c r="N18">
        <f t="shared" si="9"/>
        <v>3.869975852663636E-2</v>
      </c>
      <c r="O18">
        <f t="shared" si="1"/>
        <v>0.5173329736216552</v>
      </c>
      <c r="P18">
        <f t="shared" si="2"/>
        <v>129.80220171416872</v>
      </c>
      <c r="Q18">
        <f t="shared" si="10"/>
        <v>5.0233138625640734</v>
      </c>
      <c r="R18">
        <f t="shared" si="11"/>
        <v>9.3627865798584757</v>
      </c>
      <c r="S18">
        <f t="shared" si="12"/>
        <v>1.9881317656784111E-3</v>
      </c>
      <c r="T18">
        <f t="shared" si="13"/>
        <v>7.4285635653341623E-3</v>
      </c>
      <c r="U18">
        <f t="shared" si="14"/>
        <v>0.99950112649616751</v>
      </c>
      <c r="V18">
        <f t="shared" si="15"/>
        <v>7.4211535870476707E-3</v>
      </c>
      <c r="W18">
        <f t="shared" si="16"/>
        <v>0.9632820748577885</v>
      </c>
    </row>
    <row r="19" spans="1:23" x14ac:dyDescent="0.2">
      <c r="A19">
        <v>0.13</v>
      </c>
      <c r="B19">
        <v>0.71</v>
      </c>
      <c r="C19">
        <v>0.68</v>
      </c>
      <c r="D19">
        <v>0.8</v>
      </c>
      <c r="E19">
        <v>1.04</v>
      </c>
      <c r="F19">
        <v>159</v>
      </c>
      <c r="G19">
        <f t="shared" si="3"/>
        <v>0.1304113924050633</v>
      </c>
      <c r="H19">
        <f t="shared" si="4"/>
        <v>20.735411392405066</v>
      </c>
      <c r="I19">
        <f t="shared" si="5"/>
        <v>1.25</v>
      </c>
      <c r="J19">
        <f t="shared" si="6"/>
        <v>0.8143999999999999</v>
      </c>
      <c r="K19">
        <f>SQRT((D19^2-(1-J19))/J19)</f>
        <v>0.74696504469491132</v>
      </c>
      <c r="L19">
        <f t="shared" si="8"/>
        <v>1.3387507315130627</v>
      </c>
      <c r="M19">
        <f t="shared" si="0"/>
        <v>0.18768600974497843</v>
      </c>
      <c r="N19">
        <f t="shared" si="9"/>
        <v>0.24783036086153601</v>
      </c>
      <c r="O19">
        <f t="shared" si="1"/>
        <v>0.52621233311250659</v>
      </c>
      <c r="P19">
        <f t="shared" si="2"/>
        <v>44.027007703633508</v>
      </c>
      <c r="Q19">
        <f t="shared" si="10"/>
        <v>10.911229206845118</v>
      </c>
      <c r="R19">
        <f t="shared" si="11"/>
        <v>0.15556232182572899</v>
      </c>
      <c r="S19">
        <f t="shared" si="12"/>
        <v>6.0902264214452587E-3</v>
      </c>
      <c r="T19">
        <f t="shared" si="13"/>
        <v>2.1994363267387792E-2</v>
      </c>
      <c r="U19">
        <f t="shared" si="14"/>
        <v>0.98670517431247817</v>
      </c>
      <c r="V19">
        <f t="shared" si="15"/>
        <v>2.1413428372167278E-2</v>
      </c>
      <c r="W19">
        <f t="shared" si="16"/>
        <v>0.94276917590261311</v>
      </c>
    </row>
    <row r="20" spans="1:23" x14ac:dyDescent="0.2">
      <c r="A20">
        <v>0.14000000000000001</v>
      </c>
      <c r="B20">
        <v>0.7</v>
      </c>
      <c r="C20">
        <v>0.67</v>
      </c>
      <c r="D20">
        <v>0.75</v>
      </c>
      <c r="E20">
        <v>1.03</v>
      </c>
      <c r="F20">
        <v>103</v>
      </c>
      <c r="G20">
        <f t="shared" si="3"/>
        <v>0.14068627450980395</v>
      </c>
      <c r="H20">
        <f t="shared" si="4"/>
        <v>14.490686274509807</v>
      </c>
      <c r="I20">
        <f t="shared" si="5"/>
        <v>1.3333333333333333</v>
      </c>
      <c r="J20">
        <f t="shared" si="6"/>
        <v>0.83125000000000004</v>
      </c>
      <c r="K20">
        <f t="shared" si="7"/>
        <v>0.68824720161168529</v>
      </c>
      <c r="L20">
        <f t="shared" si="8"/>
        <v>1.4529663145135578</v>
      </c>
      <c r="M20">
        <f t="shared" si="0"/>
        <v>0.20543068200141101</v>
      </c>
      <c r="N20">
        <f t="shared" si="9"/>
        <v>0.29172265110676243</v>
      </c>
      <c r="O20">
        <f t="shared" si="1"/>
        <v>0.48226037291261509</v>
      </c>
      <c r="P20">
        <f t="shared" si="2"/>
        <v>23.955231930026901</v>
      </c>
      <c r="Q20">
        <f>P20*N20</f>
        <v>6.9882837665048125</v>
      </c>
      <c r="R20">
        <f t="shared" si="11"/>
        <v>5.7921381894406399E-3</v>
      </c>
      <c r="S20">
        <f t="shared" si="12"/>
        <v>9.4338801430230487E-3</v>
      </c>
      <c r="T20">
        <f t="shared" si="13"/>
        <v>4.0562732081646048E-2</v>
      </c>
      <c r="U20">
        <f t="shared" si="14"/>
        <v>0.9784814237074001</v>
      </c>
      <c r="V20">
        <f t="shared" si="15"/>
        <v>3.8835810129400475E-2</v>
      </c>
      <c r="W20">
        <f>P20*V20</f>
        <v>0.93032083884027639</v>
      </c>
    </row>
    <row r="21" spans="1:23" x14ac:dyDescent="0.2">
      <c r="A21">
        <v>0.23</v>
      </c>
      <c r="B21">
        <v>0.72</v>
      </c>
      <c r="C21">
        <v>0.72</v>
      </c>
      <c r="D21">
        <v>0.71</v>
      </c>
      <c r="E21">
        <v>0.98</v>
      </c>
      <c r="F21">
        <v>465</v>
      </c>
      <c r="G21">
        <f t="shared" si="3"/>
        <v>0.23024784482758623</v>
      </c>
      <c r="H21">
        <f t="shared" si="4"/>
        <v>107.0652478448276</v>
      </c>
      <c r="I21">
        <f t="shared" si="5"/>
        <v>1.4084507042253522</v>
      </c>
      <c r="J21">
        <f t="shared" si="6"/>
        <v>0.85885199999999995</v>
      </c>
      <c r="K21">
        <f t="shared" si="7"/>
        <v>0.6500779437437586</v>
      </c>
      <c r="L21">
        <f>1/K21</f>
        <v>1.5382770783470394</v>
      </c>
      <c r="M21">
        <f t="shared" si="0"/>
        <v>0.31978867337164757</v>
      </c>
      <c r="N21">
        <f t="shared" si="9"/>
        <v>0.46078442988502732</v>
      </c>
      <c r="O21">
        <f t="shared" si="1"/>
        <v>0.49968668621254531</v>
      </c>
      <c r="P21">
        <f t="shared" si="2"/>
        <v>116.10435473580473</v>
      </c>
      <c r="Q21">
        <f t="shared" si="10"/>
        <v>53.499078904106753</v>
      </c>
      <c r="R21">
        <f t="shared" si="11"/>
        <v>2.7361138920441328</v>
      </c>
      <c r="S21">
        <f t="shared" si="12"/>
        <v>2.0738271004059287E-3</v>
      </c>
      <c r="T21">
        <f t="shared" si="13"/>
        <v>8.3057143195282134E-3</v>
      </c>
      <c r="U21">
        <f t="shared" si="14"/>
        <v>0.9324592435307516</v>
      </c>
      <c r="V21">
        <f t="shared" si="15"/>
        <v>7.2216544869409764E-3</v>
      </c>
      <c r="W21">
        <f t="shared" si="16"/>
        <v>0.83846553433121107</v>
      </c>
    </row>
    <row r="23" spans="1:23" x14ac:dyDescent="0.2">
      <c r="A23" t="s">
        <v>36</v>
      </c>
      <c r="F23">
        <f>SUM(F2:F21)</f>
        <v>4059</v>
      </c>
      <c r="H23">
        <f t="shared" ref="H23:W23" si="17">SUM(H2:H21)</f>
        <v>560.28365257764267</v>
      </c>
      <c r="P23">
        <f t="shared" si="17"/>
        <v>796.08656649807176</v>
      </c>
      <c r="Q23">
        <f t="shared" si="17"/>
        <v>244.61531266732243</v>
      </c>
      <c r="R23">
        <f t="shared" si="17"/>
        <v>34.461527268258287</v>
      </c>
      <c r="W23">
        <f t="shared" si="17"/>
        <v>17.935528772173761</v>
      </c>
    </row>
    <row r="24" spans="1:23" x14ac:dyDescent="0.2">
      <c r="H24" t="s">
        <v>11</v>
      </c>
      <c r="Q24" t="s">
        <v>37</v>
      </c>
      <c r="R24" t="s">
        <v>61</v>
      </c>
      <c r="W24" t="s">
        <v>62</v>
      </c>
    </row>
    <row r="25" spans="1:23" x14ac:dyDescent="0.2">
      <c r="H25">
        <f>H23/F23</f>
        <v>0.13803489839311225</v>
      </c>
      <c r="Q25">
        <f>Q23/P23</f>
        <v>0.30727225274428105</v>
      </c>
      <c r="R25">
        <f>R23/P23</f>
        <v>4.3288668241008132E-2</v>
      </c>
      <c r="W25">
        <f>W23/P23</f>
        <v>2.2529621183121927E-2</v>
      </c>
    </row>
    <row r="27" spans="1:23" x14ac:dyDescent="0.2">
      <c r="I27" t="s">
        <v>26</v>
      </c>
      <c r="J27" t="s">
        <v>25</v>
      </c>
    </row>
    <row r="28" spans="1:23" x14ac:dyDescent="0.2">
      <c r="I28" t="s">
        <v>27</v>
      </c>
      <c r="J28" s="1">
        <f>COUNT(A2:A21)</f>
        <v>20</v>
      </c>
    </row>
    <row r="29" spans="1:23" x14ac:dyDescent="0.2">
      <c r="I29" s="1" t="s">
        <v>11</v>
      </c>
      <c r="J29" s="1">
        <f>H25</f>
        <v>0.13803489839311225</v>
      </c>
    </row>
    <row r="30" spans="1:23" x14ac:dyDescent="0.2">
      <c r="I30" t="s">
        <v>47</v>
      </c>
      <c r="J30" s="1">
        <f>Q25</f>
        <v>0.30727225274428105</v>
      </c>
    </row>
    <row r="31" spans="1:23" x14ac:dyDescent="0.2">
      <c r="I31" s="1" t="s">
        <v>15</v>
      </c>
      <c r="J31" s="1">
        <f>R25-W25</f>
        <v>2.0759047057886205E-2</v>
      </c>
    </row>
    <row r="32" spans="1:23" x14ac:dyDescent="0.2">
      <c r="I32" s="1" t="s">
        <v>16</v>
      </c>
      <c r="J32" s="1">
        <f>SQRT(J31)</f>
        <v>0.14408000228305873</v>
      </c>
    </row>
    <row r="33" spans="9:10" x14ac:dyDescent="0.2">
      <c r="I33" s="1" t="s">
        <v>17</v>
      </c>
      <c r="J33" s="1">
        <f>SQRT(R25/J28)</f>
        <v>4.6523471625088415E-2</v>
      </c>
    </row>
    <row r="34" spans="9:10" x14ac:dyDescent="0.2">
      <c r="I34" s="1" t="s">
        <v>18</v>
      </c>
      <c r="J34" s="1">
        <f>J30-1.96*J33</f>
        <v>0.21608624835910775</v>
      </c>
    </row>
    <row r="35" spans="9:10" x14ac:dyDescent="0.2">
      <c r="I35" s="1" t="s">
        <v>19</v>
      </c>
      <c r="J35" s="1">
        <f>J30+1.96*J33</f>
        <v>0.39845825712945437</v>
      </c>
    </row>
    <row r="36" spans="9:10" x14ac:dyDescent="0.2">
      <c r="I36" s="1" t="s">
        <v>20</v>
      </c>
      <c r="J36" s="1">
        <f>J30-1.28*J32</f>
        <v>0.12284984982196587</v>
      </c>
    </row>
    <row r="37" spans="9:10" x14ac:dyDescent="0.2">
      <c r="I37" s="1" t="s">
        <v>21</v>
      </c>
      <c r="J37" s="1">
        <f>J30+1.28*J32</f>
        <v>0.4916946556665962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Barebones</vt:lpstr>
      <vt:lpstr>RelOnly</vt:lpstr>
      <vt:lpstr>Case2</vt:lpstr>
      <vt:lpstr>Case4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2017-08-10T19:31:24Z</dcterms:created>
  <dcterms:modified xsi:type="dcterms:W3CDTF">2017-08-13T18:03:26Z</dcterms:modified>
</cp:coreProperties>
</file>