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9540" yWindow="1180" windowWidth="19040" windowHeight="12720" activeTab="2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3" i="1"/>
  <c r="K12" i="1"/>
  <c r="G12" i="1"/>
  <c r="G11" i="1"/>
  <c r="D9" i="3"/>
  <c r="C9" i="3"/>
  <c r="I9" i="3"/>
  <c r="H9" i="3"/>
  <c r="G9" i="3"/>
  <c r="F9" i="3"/>
  <c r="I8" i="3"/>
  <c r="H8" i="3"/>
  <c r="G8" i="3"/>
  <c r="F8" i="3"/>
  <c r="G4" i="1"/>
  <c r="I4" i="1"/>
  <c r="J4" i="1"/>
  <c r="K4" i="1"/>
  <c r="L4" i="1"/>
  <c r="M4" i="1"/>
  <c r="N4" i="1"/>
  <c r="O4" i="1"/>
  <c r="P4" i="1"/>
  <c r="Q4" i="1"/>
  <c r="G5" i="1"/>
  <c r="I5" i="1"/>
  <c r="J5" i="1"/>
  <c r="K5" i="1"/>
  <c r="L5" i="1"/>
  <c r="M5" i="1"/>
  <c r="N5" i="1"/>
  <c r="O5" i="1"/>
  <c r="P5" i="1"/>
  <c r="Q5" i="1"/>
  <c r="G6" i="1"/>
  <c r="I6" i="1"/>
  <c r="J6" i="1"/>
  <c r="K6" i="1"/>
  <c r="L6" i="1"/>
  <c r="M6" i="1"/>
  <c r="N6" i="1"/>
  <c r="O6" i="1"/>
  <c r="P6" i="1"/>
  <c r="Q6" i="1"/>
  <c r="G7" i="1"/>
  <c r="I7" i="1"/>
  <c r="J7" i="1"/>
  <c r="K7" i="1"/>
  <c r="L7" i="1"/>
  <c r="M7" i="1"/>
  <c r="N7" i="1"/>
  <c r="O7" i="1"/>
  <c r="P7" i="1"/>
  <c r="Q7" i="1"/>
  <c r="B8" i="1"/>
  <c r="C8" i="1"/>
  <c r="D8" i="1"/>
  <c r="E8" i="1"/>
  <c r="F8" i="1"/>
  <c r="B9" i="1"/>
  <c r="G9" i="1"/>
  <c r="I9" i="1"/>
  <c r="N9" i="1"/>
  <c r="O9" i="1"/>
  <c r="P9" i="1"/>
  <c r="Q9" i="1"/>
  <c r="B10" i="1"/>
  <c r="B11" i="1"/>
  <c r="E10" i="1"/>
  <c r="N10" i="1"/>
  <c r="E11" i="1"/>
  <c r="P11" i="1"/>
  <c r="B12" i="1"/>
  <c r="B13" i="1"/>
  <c r="B14" i="1"/>
  <c r="E12" i="1"/>
  <c r="Q12" i="1"/>
  <c r="E13" i="1"/>
  <c r="N13" i="1"/>
  <c r="N14" i="1"/>
  <c r="N15" i="1"/>
  <c r="N16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N25" i="1"/>
  <c r="O25" i="1"/>
  <c r="P25" i="1"/>
  <c r="U25" i="1"/>
  <c r="O26" i="1"/>
  <c r="P27" i="1"/>
  <c r="P28" i="1"/>
  <c r="P29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H35" i="1"/>
  <c r="I35" i="1"/>
  <c r="J35" i="1"/>
  <c r="K35" i="1"/>
  <c r="L35" i="1"/>
  <c r="M35" i="1"/>
  <c r="N35" i="1"/>
  <c r="O35" i="1"/>
  <c r="P35" i="1"/>
  <c r="Q35" i="1"/>
  <c r="R35" i="1"/>
  <c r="S35" i="1"/>
  <c r="H36" i="1"/>
  <c r="I36" i="1"/>
  <c r="J36" i="1"/>
  <c r="K36" i="1"/>
  <c r="L36" i="1"/>
  <c r="M36" i="1"/>
  <c r="N36" i="1"/>
  <c r="O36" i="1"/>
  <c r="P36" i="1"/>
  <c r="Q36" i="1"/>
  <c r="R36" i="1"/>
  <c r="S36" i="1"/>
  <c r="H37" i="1"/>
  <c r="I37" i="1"/>
  <c r="J37" i="1"/>
  <c r="K37" i="1"/>
  <c r="L37" i="1"/>
  <c r="M37" i="1"/>
  <c r="N37" i="1"/>
  <c r="O37" i="1"/>
  <c r="P37" i="1"/>
  <c r="Q37" i="1"/>
  <c r="R37" i="1"/>
  <c r="S37" i="1"/>
  <c r="L39" i="1"/>
  <c r="M39" i="1"/>
  <c r="N39" i="1"/>
  <c r="S39" i="1"/>
  <c r="L40" i="1"/>
  <c r="N41" i="1"/>
  <c r="N42" i="1"/>
  <c r="N43" i="1"/>
</calcChain>
</file>

<file path=xl/sharedStrings.xml><?xml version="1.0" encoding="utf-8"?>
<sst xmlns="http://schemas.openxmlformats.org/spreadsheetml/2006/main" count="125" uniqueCount="78">
  <si>
    <t>N</t>
  </si>
  <si>
    <t>ro</t>
  </si>
  <si>
    <t>rxxa</t>
  </si>
  <si>
    <t>ryy</t>
  </si>
  <si>
    <t>Ux</t>
  </si>
  <si>
    <t>unwt mean</t>
  </si>
  <si>
    <t>rNi</t>
  </si>
  <si>
    <t>sum</t>
  </si>
  <si>
    <t>rbaro</t>
  </si>
  <si>
    <t>N*(r-rbar)**2</t>
  </si>
  <si>
    <t>Var(ro)=</t>
  </si>
  <si>
    <t>Var(e)=</t>
  </si>
  <si>
    <t>V(rho)=</t>
  </si>
  <si>
    <t>SDrho=</t>
  </si>
  <si>
    <t>95CI upper</t>
  </si>
  <si>
    <t>95CI lower</t>
  </si>
  <si>
    <t>95CR up</t>
  </si>
  <si>
    <t>95CR low</t>
  </si>
  <si>
    <t>rxxi</t>
  </si>
  <si>
    <t>rc(ryy only)</t>
  </si>
  <si>
    <t>A</t>
  </si>
  <si>
    <t>V1</t>
  </si>
  <si>
    <t>V2</t>
  </si>
  <si>
    <t>w</t>
  </si>
  <si>
    <t>w*rc</t>
  </si>
  <si>
    <t>rbarc</t>
  </si>
  <si>
    <t>w*(rc-rbarc)**2</t>
  </si>
  <si>
    <t>V(rbarc)</t>
  </si>
  <si>
    <t>w*V2</t>
  </si>
  <si>
    <t>V(e)</t>
  </si>
  <si>
    <t>V(rho)</t>
  </si>
  <si>
    <t>SDrho</t>
  </si>
  <si>
    <t>95CRup</t>
  </si>
  <si>
    <t>95CRlow</t>
  </si>
  <si>
    <t>Bare Bones</t>
  </si>
  <si>
    <t>Correct for criterion reliability only</t>
  </si>
  <si>
    <t>Indirect range restriction</t>
  </si>
  <si>
    <t>rc1</t>
  </si>
  <si>
    <t>ux</t>
  </si>
  <si>
    <t>uT</t>
  </si>
  <si>
    <t>Ut</t>
  </si>
  <si>
    <t>rc</t>
  </si>
  <si>
    <t>wrc</t>
  </si>
  <si>
    <t>w(r-rbar)**2</t>
  </si>
  <si>
    <t>V(rc)</t>
  </si>
  <si>
    <t>arr</t>
  </si>
  <si>
    <t>v3</t>
  </si>
  <si>
    <t>w*v3</t>
  </si>
  <si>
    <t>Ve</t>
  </si>
  <si>
    <t>Direct range restriction</t>
  </si>
  <si>
    <t>rc2</t>
  </si>
  <si>
    <t>w*(r-rbar)**2</t>
  </si>
  <si>
    <t>var(rc)</t>
  </si>
  <si>
    <t>V3</t>
  </si>
  <si>
    <t>wV3</t>
  </si>
  <si>
    <t>var(e)</t>
  </si>
  <si>
    <t>var(rho)</t>
  </si>
  <si>
    <t>metafor estimates</t>
  </si>
  <si>
    <t>correction for ryy</t>
  </si>
  <si>
    <t>SE(M)</t>
  </si>
  <si>
    <t>Tau</t>
  </si>
  <si>
    <t>CILo</t>
  </si>
  <si>
    <t>CIHi</t>
  </si>
  <si>
    <t>CRLow</t>
  </si>
  <si>
    <t>CRHi</t>
  </si>
  <si>
    <t>ES Mean</t>
  </si>
  <si>
    <t>no adjust</t>
  </si>
  <si>
    <t>Metafor</t>
  </si>
  <si>
    <t>H&amp;S</t>
  </si>
  <si>
    <t>bb ryy=1</t>
  </si>
  <si>
    <t>ryy=.85</t>
  </si>
  <si>
    <t>Cilo</t>
  </si>
  <si>
    <t>CI hi</t>
  </si>
  <si>
    <t xml:space="preserve">Note that the Hunter &amp; Schmidt calcuations are run separately for the two rows, but the Metafor analysis just uses the </t>
  </si>
  <si>
    <t>tau after including the ryy moderator and then</t>
  </si>
  <si>
    <t>uses Excel to compute the adjustments</t>
  </si>
  <si>
    <t>note these are Metafor CRs, not Higgins's CRs.  Need to use the t distribution</t>
  </si>
  <si>
    <t>if you want to account for the small number of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</si>
</sst>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.7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K13" sqref="K13"/>
    </sheetView>
  </sheetViews>
  <sheetFormatPr baseColWidth="10" defaultColWidth="8.83203125" defaultRowHeight="12" x14ac:dyDescent="0"/>
  <sheetData>
    <row r="1" spans="1:17">
      <c r="D1" t="s">
        <v>34</v>
      </c>
      <c r="L1" t="s">
        <v>35</v>
      </c>
    </row>
    <row r="2" spans="1:17">
      <c r="J2" t="s">
        <v>19</v>
      </c>
      <c r="P2" t="s">
        <v>26</v>
      </c>
    </row>
    <row r="3" spans="1:17">
      <c r="B3" t="s">
        <v>0</v>
      </c>
      <c r="C3" t="s">
        <v>1</v>
      </c>
      <c r="D3" t="s">
        <v>18</v>
      </c>
      <c r="E3" t="s">
        <v>3</v>
      </c>
      <c r="F3" t="s">
        <v>4</v>
      </c>
      <c r="G3" t="s">
        <v>6</v>
      </c>
      <c r="I3" t="s">
        <v>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  <c r="Q3" t="s">
        <v>28</v>
      </c>
    </row>
    <row r="4" spans="1:17" ht="15">
      <c r="B4" s="1">
        <v>200</v>
      </c>
      <c r="C4" s="1">
        <v>0.2</v>
      </c>
      <c r="D4" s="1">
        <v>0.9</v>
      </c>
      <c r="E4" s="1">
        <v>0.8</v>
      </c>
      <c r="F4" s="1">
        <v>1.5</v>
      </c>
      <c r="G4">
        <f>B4*C4</f>
        <v>40</v>
      </c>
      <c r="I4">
        <f>B4*(C4-0.286792)*(C4-0.286792)</f>
        <v>1.5065702527999993</v>
      </c>
      <c r="J4">
        <f>C4/SQRT(E4)</f>
        <v>0.22360679774997899</v>
      </c>
      <c r="K4">
        <f>C4/J4</f>
        <v>0.89442719099991586</v>
      </c>
      <c r="L4">
        <f>(1-0.286792*0.286792)*(1-0.286792*0.286792)/(B4-1)</f>
        <v>4.2324909678645708E-3</v>
      </c>
      <c r="M4">
        <f>L4/(K4*K4)</f>
        <v>5.2906137098307137E-3</v>
      </c>
      <c r="N4">
        <f>B4*K4*K4</f>
        <v>160</v>
      </c>
      <c r="O4">
        <f>J4*N4</f>
        <v>35.777087639996637</v>
      </c>
      <c r="P4">
        <f>N4*((J4-0.315091)*(J4-0.315091))</f>
        <v>1.3390974818116401</v>
      </c>
      <c r="Q4">
        <f>N4*M4</f>
        <v>0.84649819357291423</v>
      </c>
    </row>
    <row r="5" spans="1:17" ht="15">
      <c r="B5" s="1">
        <v>100</v>
      </c>
      <c r="C5" s="1">
        <v>0.2</v>
      </c>
      <c r="D5" s="1">
        <v>0.8</v>
      </c>
      <c r="E5" s="1">
        <v>0.82</v>
      </c>
      <c r="F5" s="1">
        <v>1.5</v>
      </c>
      <c r="G5">
        <f>B5*C5</f>
        <v>20</v>
      </c>
      <c r="I5">
        <f>B5*(C5-0.286792)*(C5-0.286792)</f>
        <v>0.75328512639999967</v>
      </c>
      <c r="J5">
        <f>C5/SQRT(E5)</f>
        <v>0.22086305214969312</v>
      </c>
      <c r="K5">
        <f>C5/J5</f>
        <v>0.90553851381374162</v>
      </c>
      <c r="L5">
        <f>(1-0.286792*0.286792)*(1-0.286792*0.286792)/(B5-1)</f>
        <v>8.5077343697479765E-3</v>
      </c>
      <c r="M5">
        <f>L5/(K5*K5)</f>
        <v>1.0375285816765825E-2</v>
      </c>
      <c r="N5">
        <f>B5*K5*K5</f>
        <v>81.999999999999986</v>
      </c>
      <c r="O5">
        <f>J5*N5</f>
        <v>18.110770276274835</v>
      </c>
      <c r="P5">
        <f>N5*((J5-0.315091)*(J5-0.315091))</f>
        <v>0.7280703047985726</v>
      </c>
      <c r="Q5">
        <f>N5*M5</f>
        <v>0.85077343697479746</v>
      </c>
    </row>
    <row r="6" spans="1:17" ht="15">
      <c r="B6" s="1">
        <v>150</v>
      </c>
      <c r="C6" s="1">
        <v>0.4</v>
      </c>
      <c r="D6" s="1">
        <v>0.85</v>
      </c>
      <c r="E6" s="1">
        <v>0.88</v>
      </c>
      <c r="F6" s="1">
        <v>1</v>
      </c>
      <c r="G6">
        <f>B6*C6</f>
        <v>60</v>
      </c>
      <c r="I6">
        <f>B6*(C6-0.286792)*(C6-0.286792)</f>
        <v>1.9224076896000011</v>
      </c>
      <c r="J6">
        <f>C6/SQRT(E6)</f>
        <v>0.42640143271122088</v>
      </c>
      <c r="K6">
        <f>C6/J6</f>
        <v>0.93808315196468595</v>
      </c>
      <c r="L6">
        <f>(1-0.286792*0.286792)*(1-0.286792*0.286792)/(B6-1)</f>
        <v>5.6527899503694603E-3</v>
      </c>
      <c r="M6">
        <f>L6/(K6*K6)</f>
        <v>6.4236249436016588E-3</v>
      </c>
      <c r="N6">
        <f>B6*K6*K6</f>
        <v>132.00000000000003</v>
      </c>
      <c r="O6">
        <f>J6*N6</f>
        <v>56.284989117881167</v>
      </c>
      <c r="P6">
        <f>N6*((J6-0.315091)*(J6-0.315091))</f>
        <v>1.6354816408074186</v>
      </c>
      <c r="Q6">
        <f>N6*M6</f>
        <v>0.84791849255541918</v>
      </c>
    </row>
    <row r="7" spans="1:17" ht="15">
      <c r="B7" s="1">
        <v>80</v>
      </c>
      <c r="C7" s="1">
        <v>0.4</v>
      </c>
      <c r="D7" s="1">
        <v>0.85</v>
      </c>
      <c r="E7" s="1">
        <v>0.9</v>
      </c>
      <c r="F7" s="1">
        <v>1.2</v>
      </c>
      <c r="G7">
        <f>B7*C7</f>
        <v>32</v>
      </c>
      <c r="I7">
        <f>B7*(C7-0.286792)*(C7-0.286792)</f>
        <v>1.0252841011200005</v>
      </c>
      <c r="J7">
        <f>C7/SQRT(E7)</f>
        <v>0.42163702135578396</v>
      </c>
      <c r="K7">
        <f>C7/J7</f>
        <v>0.94868329805051377</v>
      </c>
      <c r="L7">
        <f>(1-0.286792*0.286792)*(1-0.286792*0.286792)/(B7-1)</f>
        <v>1.0661591172215818E-2</v>
      </c>
      <c r="M7">
        <f>L7/(K7*K7)</f>
        <v>1.1846212413573132E-2</v>
      </c>
      <c r="N7">
        <f>B7*K7*K7</f>
        <v>72</v>
      </c>
      <c r="O7">
        <f>J7*N7</f>
        <v>30.357865537616444</v>
      </c>
      <c r="P7">
        <f>N7*((J7-0.315091)*(J7-0.315091))</f>
        <v>0.81734793600579625</v>
      </c>
      <c r="Q7">
        <f>N7*M7</f>
        <v>0.8529272937772655</v>
      </c>
    </row>
    <row r="8" spans="1:17">
      <c r="A8" t="s">
        <v>5</v>
      </c>
      <c r="B8">
        <f>AVERAGE(B4:B7)</f>
        <v>132.5</v>
      </c>
      <c r="C8">
        <f>AVERAGE(C4:C7)</f>
        <v>0.30000000000000004</v>
      </c>
      <c r="D8">
        <f>AVERAGE(D4:D7)</f>
        <v>0.85000000000000009</v>
      </c>
      <c r="E8">
        <f>AVERAGE(E4:E7)</f>
        <v>0.85</v>
      </c>
      <c r="F8">
        <f>AVERAGE(F4:F7)</f>
        <v>1.3</v>
      </c>
    </row>
    <row r="9" spans="1:17">
      <c r="A9" t="s">
        <v>7</v>
      </c>
      <c r="B9">
        <f>SUM(B4:B7)</f>
        <v>530</v>
      </c>
      <c r="G9">
        <f>SUM(G4:G7)</f>
        <v>152</v>
      </c>
      <c r="I9">
        <f>SUM(I4:I7)</f>
        <v>5.2075471699200007</v>
      </c>
      <c r="M9" t="s">
        <v>7</v>
      </c>
      <c r="N9">
        <f>SUM(N4:N7)</f>
        <v>446</v>
      </c>
      <c r="O9">
        <f>SUM(O4:O7)</f>
        <v>140.53071257176907</v>
      </c>
      <c r="P9">
        <f>SUM(P4:P7)</f>
        <v>4.5199973634234283</v>
      </c>
      <c r="Q9">
        <f>SUM(Q4:Q7)</f>
        <v>3.398117416880396</v>
      </c>
    </row>
    <row r="10" spans="1:17">
      <c r="A10" t="s">
        <v>8</v>
      </c>
      <c r="B10">
        <f>G9/B9</f>
        <v>0.28679245283018867</v>
      </c>
      <c r="D10" t="s">
        <v>14</v>
      </c>
      <c r="E10">
        <f>B10+1.96*SQRT(B11/4)</f>
        <v>0.38393393981861684</v>
      </c>
      <c r="M10" t="s">
        <v>25</v>
      </c>
      <c r="N10">
        <f>O9/N9</f>
        <v>0.31509128379320422</v>
      </c>
    </row>
    <row r="11" spans="1:17">
      <c r="A11" t="s">
        <v>10</v>
      </c>
      <c r="B11">
        <f>I9/B9</f>
        <v>9.8255606979622649E-3</v>
      </c>
      <c r="D11" t="s">
        <v>15</v>
      </c>
      <c r="E11">
        <f>B10-1.96*SQRT(B11/4)</f>
        <v>0.1896509658417605</v>
      </c>
      <c r="F11" t="s">
        <v>59</v>
      </c>
      <c r="G11">
        <f xml:space="preserve"> SQRT(B11/4)</f>
        <v>4.9561983157361308E-2</v>
      </c>
      <c r="J11" t="s">
        <v>59</v>
      </c>
      <c r="K11">
        <f>G11/AVERAGE(E4:E8)</f>
        <v>5.8308215479248603E-2</v>
      </c>
      <c r="M11" t="s">
        <v>27</v>
      </c>
      <c r="P11">
        <f>P9/N9</f>
        <v>1.01345232363754E-2</v>
      </c>
    </row>
    <row r="12" spans="1:17">
      <c r="A12" t="s">
        <v>11</v>
      </c>
      <c r="B12">
        <f>(1-B10*B10)*(1-B10*B10)/(B8-1)</f>
        <v>6.4050587517783617E-3</v>
      </c>
      <c r="D12" t="s">
        <v>16</v>
      </c>
      <c r="E12">
        <f>B10+1.96*B14</f>
        <v>0.40142316545320295</v>
      </c>
      <c r="F12" t="s">
        <v>60</v>
      </c>
      <c r="G12">
        <f>SQRT(B13)</f>
        <v>5.8485057460721565E-2</v>
      </c>
      <c r="J12" t="s">
        <v>71</v>
      </c>
      <c r="K12">
        <f>N10-1.96*K11</f>
        <v>0.20080718145387697</v>
      </c>
      <c r="M12" t="s">
        <v>29</v>
      </c>
      <c r="Q12">
        <f>Q9/N9</f>
        <v>7.6190973472654621E-3</v>
      </c>
    </row>
    <row r="13" spans="1:17">
      <c r="A13" t="s">
        <v>12</v>
      </c>
      <c r="B13">
        <f>B11-B12</f>
        <v>3.4205019461839032E-3</v>
      </c>
      <c r="D13" t="s">
        <v>17</v>
      </c>
      <c r="E13">
        <f>B10-1.96*B14</f>
        <v>0.1721617402071744</v>
      </c>
      <c r="J13" t="s">
        <v>72</v>
      </c>
      <c r="K13">
        <f>N10+1.96*K11</f>
        <v>0.42937538613253146</v>
      </c>
      <c r="M13" t="s">
        <v>30</v>
      </c>
      <c r="N13">
        <f>P11-Q12</f>
        <v>2.5154258891099375E-3</v>
      </c>
    </row>
    <row r="14" spans="1:17">
      <c r="A14" t="s">
        <v>13</v>
      </c>
      <c r="B14">
        <f>SQRT(B13)</f>
        <v>5.8485057460721565E-2</v>
      </c>
      <c r="M14" t="s">
        <v>31</v>
      </c>
      <c r="N14">
        <f>SQRT(N13)</f>
        <v>5.0154021664368428E-2</v>
      </c>
    </row>
    <row r="15" spans="1:17">
      <c r="M15" t="s">
        <v>32</v>
      </c>
      <c r="N15">
        <f>N10+1.96*N14</f>
        <v>0.41339316625536637</v>
      </c>
    </row>
    <row r="16" spans="1:17">
      <c r="M16" t="s">
        <v>33</v>
      </c>
      <c r="N16">
        <f>N10-1.96*N14</f>
        <v>0.2167894013310421</v>
      </c>
    </row>
    <row r="17" spans="2:21">
      <c r="C17" t="s">
        <v>36</v>
      </c>
    </row>
    <row r="19" spans="2:21">
      <c r="B19" t="s">
        <v>0</v>
      </c>
      <c r="C19" t="s">
        <v>1</v>
      </c>
      <c r="D19" t="s">
        <v>18</v>
      </c>
      <c r="E19" t="s">
        <v>3</v>
      </c>
      <c r="F19" t="s">
        <v>4</v>
      </c>
      <c r="G19" t="s">
        <v>38</v>
      </c>
      <c r="H19" t="s">
        <v>2</v>
      </c>
      <c r="I19" t="s">
        <v>39</v>
      </c>
      <c r="J19" t="s">
        <v>40</v>
      </c>
      <c r="K19" t="s">
        <v>37</v>
      </c>
      <c r="L19" t="s">
        <v>41</v>
      </c>
      <c r="M19" t="s">
        <v>20</v>
      </c>
      <c r="N19" t="s">
        <v>23</v>
      </c>
      <c r="O19" t="s">
        <v>42</v>
      </c>
      <c r="P19" t="s">
        <v>43</v>
      </c>
      <c r="Q19" t="s">
        <v>21</v>
      </c>
      <c r="R19" t="s">
        <v>22</v>
      </c>
      <c r="S19" t="s">
        <v>45</v>
      </c>
      <c r="T19" t="s">
        <v>46</v>
      </c>
      <c r="U19" t="s">
        <v>47</v>
      </c>
    </row>
    <row r="20" spans="2:21" ht="15">
      <c r="B20" s="1">
        <v>200</v>
      </c>
      <c r="C20" s="1">
        <v>0.2</v>
      </c>
      <c r="D20" s="1">
        <v>0.9</v>
      </c>
      <c r="E20" s="1">
        <v>0.8</v>
      </c>
      <c r="F20" s="1">
        <v>1.5</v>
      </c>
      <c r="G20">
        <f>1/F20</f>
        <v>0.66666666666666663</v>
      </c>
      <c r="H20">
        <f>1-G20*G20*(1-D20)</f>
        <v>0.9555555555555556</v>
      </c>
      <c r="I20">
        <f>SQRT(((G20*G20)-(1-H20))/H20)</f>
        <v>0.64699663922063055</v>
      </c>
      <c r="J20">
        <f>1/I20</f>
        <v>1.5456030825826172</v>
      </c>
      <c r="K20">
        <f>C20/SQRT(D20*E20)</f>
        <v>0.23570226039551584</v>
      </c>
      <c r="L20">
        <f>(J20*K20)/SQRT((J20*J20-1)*K20*K20+1)</f>
        <v>0.3510116366367948</v>
      </c>
      <c r="M20">
        <f>C20/L20</f>
        <v>0.56978167993600648</v>
      </c>
      <c r="N20">
        <f>B20*M20*M20</f>
        <v>64.930232558139551</v>
      </c>
      <c r="O20">
        <f>N20*L20</f>
        <v>22.791267197440263</v>
      </c>
      <c r="P20">
        <f>N20*(L20-0.437009)*(L20-0.437009)</f>
        <v>0.4801945544916611</v>
      </c>
      <c r="Q20">
        <f>(1-0.2868*0.2868)*(1-0.2868*0.2868)/(B20-1)</f>
        <v>4.2324486432059171E-3</v>
      </c>
      <c r="R20">
        <f>Q20/(M20*M20)</f>
        <v>1.3036912009874958E-2</v>
      </c>
      <c r="S20">
        <f>1/((J20*J20-1)*C20*C20+1)</f>
        <v>0.94736842105263153</v>
      </c>
      <c r="T20">
        <f>R20*S20*S20</f>
        <v>1.1700718812186942E-2</v>
      </c>
      <c r="U20">
        <f>N20*T20</f>
        <v>0.75973039357269645</v>
      </c>
    </row>
    <row r="21" spans="2:21" ht="15">
      <c r="B21" s="1">
        <v>100</v>
      </c>
      <c r="C21" s="1">
        <v>0.2</v>
      </c>
      <c r="D21" s="1">
        <v>0.8</v>
      </c>
      <c r="E21" s="1">
        <v>0.82</v>
      </c>
      <c r="F21" s="1">
        <v>1.5</v>
      </c>
      <c r="G21">
        <f>1/F21</f>
        <v>0.66666666666666663</v>
      </c>
      <c r="H21">
        <f>1-G21*G21*(1-D21)</f>
        <v>0.91111111111111109</v>
      </c>
      <c r="I21">
        <f>SQRT(((G21*G21)-(1-H21))/H21)</f>
        <v>0.62469504755442418</v>
      </c>
      <c r="J21">
        <f>1/I21</f>
        <v>1.6007810593582124</v>
      </c>
      <c r="K21">
        <f>C21/SQRT(D21*E21)</f>
        <v>0.2469323991623974</v>
      </c>
      <c r="L21">
        <f>(J21*K21)/SQRT((J21*J21-1)*K21*K21+1)</f>
        <v>0.37770135813361566</v>
      </c>
      <c r="M21">
        <f>C21/L21</f>
        <v>0.52951887964683464</v>
      </c>
      <c r="N21">
        <f>B21*M21*M21</f>
        <v>28.039024390243895</v>
      </c>
      <c r="O21">
        <f>N21*L21</f>
        <v>10.590377592936694</v>
      </c>
      <c r="P21">
        <f>N21*(L21-0.437009)*(L21-0.437009)</f>
        <v>9.8624362994158429E-2</v>
      </c>
      <c r="Q21">
        <f>(1-0.2868*0.2868)*(1-0.2868*0.2868)/(B21-1)</f>
        <v>8.5076492929088629E-3</v>
      </c>
      <c r="R21">
        <f>Q21/(M21*M21)</f>
        <v>3.0342173017507263E-2</v>
      </c>
      <c r="S21">
        <f>1/((J21*J21-1)*C21*C21+1)</f>
        <v>0.94117647058823528</v>
      </c>
      <c r="T21">
        <f>R21*S21*S21</f>
        <v>2.6877495821736538E-2</v>
      </c>
      <c r="U21">
        <f>N21*T21</f>
        <v>0.7536187608943492</v>
      </c>
    </row>
    <row r="22" spans="2:21" ht="15">
      <c r="B22" s="1">
        <v>150</v>
      </c>
      <c r="C22" s="1">
        <v>0.4</v>
      </c>
      <c r="D22" s="1">
        <v>0.85</v>
      </c>
      <c r="E22" s="1">
        <v>0.88</v>
      </c>
      <c r="F22" s="1">
        <v>1</v>
      </c>
      <c r="G22">
        <f>1/F22</f>
        <v>1</v>
      </c>
      <c r="H22">
        <f>1-G22*G22*(1-D22)</f>
        <v>0.85</v>
      </c>
      <c r="I22">
        <f>SQRT(((G22*G22)-(1-H22))/H22)</f>
        <v>1</v>
      </c>
      <c r="J22">
        <f>1/I22</f>
        <v>1</v>
      </c>
      <c r="K22">
        <f>C22/SQRT(D22*E22)</f>
        <v>0.46249729006288032</v>
      </c>
      <c r="L22">
        <f>(J22*K22)/SQRT((J22*J22-1)*K22*K22+1)</f>
        <v>0.46249729006288032</v>
      </c>
      <c r="M22">
        <f>C22/L22</f>
        <v>0.86486993241758614</v>
      </c>
      <c r="N22">
        <f>B22*M22*M22</f>
        <v>112.19999999999999</v>
      </c>
      <c r="O22">
        <f>N22*L22</f>
        <v>51.892195945055164</v>
      </c>
      <c r="P22">
        <f>N22*(L22-0.437009)*(L22-0.437009)</f>
        <v>7.289105878297264E-2</v>
      </c>
      <c r="Q22">
        <f>(1-0.2868*0.2868)*(1-0.2868*0.2868)/(B22-1)</f>
        <v>5.652733422805218E-3</v>
      </c>
      <c r="R22">
        <f>Q22/(M22*M22)</f>
        <v>7.5571302443920027E-3</v>
      </c>
      <c r="S22">
        <f>1/((J22*J22-1)*C22*C22+1)</f>
        <v>1</v>
      </c>
      <c r="T22">
        <f>R22*S22*S22</f>
        <v>7.5571302443920027E-3</v>
      </c>
      <c r="U22">
        <f>N22*T22</f>
        <v>0.84791001342078265</v>
      </c>
    </row>
    <row r="23" spans="2:21" ht="15">
      <c r="B23" s="1">
        <v>80</v>
      </c>
      <c r="C23" s="1">
        <v>0.4</v>
      </c>
      <c r="D23" s="1">
        <v>0.85</v>
      </c>
      <c r="E23" s="1">
        <v>0.9</v>
      </c>
      <c r="F23" s="1">
        <v>1.2</v>
      </c>
      <c r="G23">
        <f>1/F23</f>
        <v>0.83333333333333337</v>
      </c>
      <c r="H23">
        <f>1-G23*G23*(1-D23)</f>
        <v>0.89583333333333326</v>
      </c>
      <c r="I23">
        <f>SQRT(((G23*G23)-(1-H23))/H23)</f>
        <v>0.81173562733329041</v>
      </c>
      <c r="J23">
        <f>1/I23</f>
        <v>1.2319281873646408</v>
      </c>
      <c r="K23">
        <f>C23/SQRT(D23*E23)</f>
        <v>0.45732956038002359</v>
      </c>
      <c r="L23">
        <f>(J23*K23)/SQRT((J23*J23-1)*K23*K23+1)</f>
        <v>0.53517109768296056</v>
      </c>
      <c r="M23">
        <f>C23/L23</f>
        <v>0.74742451849849911</v>
      </c>
      <c r="N23">
        <f>B23*M23*M23</f>
        <v>44.691472868217055</v>
      </c>
      <c r="O23">
        <f>N23*L23</f>
        <v>23.917584591951972</v>
      </c>
      <c r="P23">
        <f>N23*(L23-0.437009)*(L23-0.437009)</f>
        <v>0.43063797902745654</v>
      </c>
      <c r="Q23">
        <f>(1-0.2868*0.2868)*(1-0.2868*0.2868)/(B23-1)</f>
        <v>1.0661484556936425E-2</v>
      </c>
      <c r="R23">
        <f>Q23/(M23*M23)</f>
        <v>1.9084597347461298E-2</v>
      </c>
      <c r="S23">
        <f>1/((J23*J23-1)*C23*C23+1)</f>
        <v>0.92351151673185572</v>
      </c>
      <c r="T23">
        <f>R23*S23*S23</f>
        <v>1.6276747746833034E-2</v>
      </c>
      <c r="U23">
        <f>N23*T23</f>
        <v>0.72743183031040159</v>
      </c>
    </row>
    <row r="25" spans="2:21">
      <c r="M25" t="s">
        <v>7</v>
      </c>
      <c r="N25">
        <f>SUM(N20:N23)</f>
        <v>249.8607298166005</v>
      </c>
      <c r="O25">
        <f>SUM(O20:O23)</f>
        <v>109.19142532738408</v>
      </c>
      <c r="P25">
        <f>SUM(P20:P23)</f>
        <v>1.0823479552962487</v>
      </c>
      <c r="U25">
        <f>SUM(U20:U23)</f>
        <v>3.08869099819823</v>
      </c>
    </row>
    <row r="26" spans="2:21">
      <c r="M26" t="s">
        <v>25</v>
      </c>
      <c r="O26">
        <f>O25/N25</f>
        <v>0.4370091506877905</v>
      </c>
    </row>
    <row r="27" spans="2:21">
      <c r="M27" t="s">
        <v>44</v>
      </c>
      <c r="P27">
        <f>P25/N25</f>
        <v>4.3318049862845582E-3</v>
      </c>
    </row>
    <row r="28" spans="2:21">
      <c r="M28" t="s">
        <v>48</v>
      </c>
      <c r="P28">
        <f>U25/N25</f>
        <v>1.2361650430082994E-2</v>
      </c>
    </row>
    <row r="29" spans="2:21">
      <c r="M29" t="s">
        <v>30</v>
      </c>
      <c r="P29">
        <f>P27-P28</f>
        <v>-8.0298454437984362E-3</v>
      </c>
    </row>
    <row r="30" spans="2:21">
      <c r="M30" t="s">
        <v>31</v>
      </c>
      <c r="P30">
        <v>0</v>
      </c>
    </row>
    <row r="32" spans="2:21">
      <c r="C32" t="s">
        <v>49</v>
      </c>
    </row>
    <row r="33" spans="2:19">
      <c r="B33" t="s">
        <v>0</v>
      </c>
      <c r="C33" t="s">
        <v>1</v>
      </c>
      <c r="D33" t="s">
        <v>18</v>
      </c>
      <c r="E33" t="s">
        <v>3</v>
      </c>
      <c r="F33" t="s">
        <v>4</v>
      </c>
      <c r="G33" t="s">
        <v>2</v>
      </c>
      <c r="H33" t="s">
        <v>37</v>
      </c>
      <c r="I33" t="s">
        <v>50</v>
      </c>
      <c r="J33" t="s">
        <v>41</v>
      </c>
      <c r="K33" t="s">
        <v>20</v>
      </c>
      <c r="L33" t="s">
        <v>23</v>
      </c>
      <c r="M33" t="s">
        <v>24</v>
      </c>
      <c r="N33" t="s">
        <v>51</v>
      </c>
      <c r="O33" t="s">
        <v>21</v>
      </c>
      <c r="P33" t="s">
        <v>22</v>
      </c>
      <c r="Q33" t="s">
        <v>45</v>
      </c>
      <c r="R33" t="s">
        <v>53</v>
      </c>
      <c r="S33" t="s">
        <v>54</v>
      </c>
    </row>
    <row r="34" spans="2:19" ht="15">
      <c r="B34" s="1">
        <v>200</v>
      </c>
      <c r="C34" s="1">
        <v>0.2</v>
      </c>
      <c r="D34" s="1">
        <v>0.9</v>
      </c>
      <c r="E34" s="1">
        <v>0.8</v>
      </c>
      <c r="F34" s="1">
        <v>1.5</v>
      </c>
      <c r="G34">
        <f>0.955556</f>
        <v>0.95555599999999996</v>
      </c>
      <c r="H34">
        <f>C34/SQRT(E34)</f>
        <v>0.22360679774997899</v>
      </c>
      <c r="I34">
        <f>F34*H34/SQRT((F34*F34-1)*H34*H34+1)</f>
        <v>0.3253956867279843</v>
      </c>
      <c r="J34">
        <f>I34/SQRT(G34)</f>
        <v>0.33287694724165462</v>
      </c>
      <c r="K34">
        <f>C34/J34</f>
        <v>0.6008226212637322</v>
      </c>
      <c r="L34">
        <f>B34*K34*K34</f>
        <v>72.197564444444438</v>
      </c>
      <c r="M34">
        <f>L34*J34</f>
        <v>24.03290485054929</v>
      </c>
      <c r="N34">
        <f>L34*((J34-0.420492)*(J34-0.420492))</f>
        <v>0.55421720103049521</v>
      </c>
      <c r="O34">
        <f>(1-0.2868*0.2868)*(1-0.2868*0.2868)/(B34-1)</f>
        <v>4.2324486432059171E-3</v>
      </c>
      <c r="P34">
        <f>O34/(K34*K34)</f>
        <v>1.1724629981009288E-2</v>
      </c>
      <c r="Q34">
        <f>1/((F34*F34-1)*C34*C34+1)</f>
        <v>0.95238095238095233</v>
      </c>
      <c r="R34">
        <f>P34*Q34*Q34</f>
        <v>1.0634585016788468E-2</v>
      </c>
      <c r="S34">
        <f>L34*R34</f>
        <v>0.76779113708950864</v>
      </c>
    </row>
    <row r="35" spans="2:19" ht="15">
      <c r="B35" s="1">
        <v>100</v>
      </c>
      <c r="C35" s="1">
        <v>0.2</v>
      </c>
      <c r="D35" s="1">
        <v>0.8</v>
      </c>
      <c r="E35" s="1">
        <v>0.82</v>
      </c>
      <c r="F35" s="1">
        <v>1.5</v>
      </c>
      <c r="G35" s="1">
        <v>0.911111</v>
      </c>
      <c r="H35">
        <f>C35/SQRT(E35)</f>
        <v>0.22086305214969312</v>
      </c>
      <c r="I35">
        <f>F35*H35/SQRT((F35*F35-1)*H35*H35+1)</f>
        <v>0.32163376045133846</v>
      </c>
      <c r="J35">
        <f>I35/SQRT(G35)</f>
        <v>0.33695816420849511</v>
      </c>
      <c r="K35">
        <f>C35/J35</f>
        <v>0.59354549390365463</v>
      </c>
      <c r="L35">
        <f>B35*K35*K35</f>
        <v>35.229625333333331</v>
      </c>
      <c r="M35">
        <f>L35*J35</f>
        <v>11.870909878073093</v>
      </c>
      <c r="N35">
        <f>L35*((J35-0.420492)*(J35-0.420492))</f>
        <v>0.2458288632803646</v>
      </c>
      <c r="O35">
        <f>(1-0.2868*0.2868)*(1-0.2868*0.2868)/(B35-1)</f>
        <v>8.5076492929088629E-3</v>
      </c>
      <c r="P35">
        <f>O35/(K35*K35)</f>
        <v>2.4149133612440529E-2</v>
      </c>
      <c r="Q35">
        <f>1/((F35*F35-1)*C35*C35+1)</f>
        <v>0.95238095238095233</v>
      </c>
      <c r="R35">
        <f>P35*Q35*Q35</f>
        <v>2.1903976065705693E-2</v>
      </c>
      <c r="S35">
        <f>L35*R35</f>
        <v>0.7716688701051122</v>
      </c>
    </row>
    <row r="36" spans="2:19" ht="15">
      <c r="B36" s="1">
        <v>150</v>
      </c>
      <c r="C36" s="1">
        <v>0.4</v>
      </c>
      <c r="D36" s="1">
        <v>0.85</v>
      </c>
      <c r="E36" s="1">
        <v>0.88</v>
      </c>
      <c r="F36" s="1">
        <v>1</v>
      </c>
      <c r="G36" s="1">
        <v>0.85</v>
      </c>
      <c r="H36">
        <f>C36/SQRT(E36)</f>
        <v>0.42640143271122088</v>
      </c>
      <c r="I36">
        <f>F36*H36/SQRT((F36*F36-1)*H36*H36+1)</f>
        <v>0.42640143271122088</v>
      </c>
      <c r="J36">
        <f>I36/SQRT(G36)</f>
        <v>0.46249729006288032</v>
      </c>
      <c r="K36">
        <f>C36/J36</f>
        <v>0.86486993241758614</v>
      </c>
      <c r="L36">
        <f>B36*K36*K36</f>
        <v>112.19999999999999</v>
      </c>
      <c r="M36">
        <f>L36*J36</f>
        <v>51.892195945055164</v>
      </c>
      <c r="N36">
        <f>L36*((J36-0.420492)*(J36-0.420492))</f>
        <v>0.19797066092452528</v>
      </c>
      <c r="O36">
        <f>(1-0.2868*0.2868)*(1-0.2868*0.2868)/(B36-1)</f>
        <v>5.652733422805218E-3</v>
      </c>
      <c r="P36">
        <f>O36/(K36*K36)</f>
        <v>7.5571302443920027E-3</v>
      </c>
      <c r="Q36">
        <f>1/((F36*F36-1)*C36*C36+1)</f>
        <v>1</v>
      </c>
      <c r="R36">
        <f>P36*Q36*Q36</f>
        <v>7.5571302443920027E-3</v>
      </c>
      <c r="S36">
        <f>L36*R36</f>
        <v>0.84791001342078265</v>
      </c>
    </row>
    <row r="37" spans="2:19" ht="15">
      <c r="B37" s="1">
        <v>80</v>
      </c>
      <c r="C37" s="1">
        <v>0.4</v>
      </c>
      <c r="D37" s="1">
        <v>0.85</v>
      </c>
      <c r="E37" s="1">
        <v>0.9</v>
      </c>
      <c r="F37" s="1">
        <v>1.2</v>
      </c>
      <c r="G37" s="1">
        <v>0.89583299999999999</v>
      </c>
      <c r="H37">
        <f>C37/SQRT(E37)</f>
        <v>0.42163702135578396</v>
      </c>
      <c r="I37">
        <f>F37*H37/SQRT((F37*F37-1)*H37*H37+1)</f>
        <v>0.48726570246429357</v>
      </c>
      <c r="J37">
        <f>I37/SQRT(G37)</f>
        <v>0.51481633100708624</v>
      </c>
      <c r="K37">
        <f>C37/J37</f>
        <v>0.77697612897694612</v>
      </c>
      <c r="L37">
        <f>B37*K37*K37</f>
        <v>48.295352399999999</v>
      </c>
      <c r="M37">
        <f>L37*J37</f>
        <v>24.863236127262276</v>
      </c>
      <c r="N37">
        <f>L37*((J37-0.420492)*(J37-0.420492))</f>
        <v>0.42968758591651818</v>
      </c>
      <c r="O37">
        <f>(1-0.2868*0.2868)*(1-0.2868*0.2868)/(B37-1)</f>
        <v>1.0661484556936425E-2</v>
      </c>
      <c r="P37">
        <f>O37/(K37*K37)</f>
        <v>1.7660472947598038E-2</v>
      </c>
      <c r="Q37">
        <f>1/((F37*F37-1)*C37*C37+1)</f>
        <v>0.93423019431988041</v>
      </c>
      <c r="R37">
        <f>P37*Q37*Q37</f>
        <v>1.5413814530657237E-2</v>
      </c>
      <c r="S37">
        <f>L37*R37</f>
        <v>0.74441560458633182</v>
      </c>
    </row>
    <row r="39" spans="2:19">
      <c r="J39" t="s">
        <v>7</v>
      </c>
      <c r="L39">
        <f>SUM(L34:L37)</f>
        <v>267.92254217777776</v>
      </c>
      <c r="M39">
        <f>SUM(M34:M37)</f>
        <v>112.65924680093983</v>
      </c>
      <c r="N39">
        <f>SUM(N34:N37)</f>
        <v>1.4277043111519032</v>
      </c>
      <c r="S39">
        <f>SUM(S34:S37)</f>
        <v>3.1317856252017351</v>
      </c>
    </row>
    <row r="40" spans="2:19">
      <c r="K40" t="s">
        <v>25</v>
      </c>
      <c r="L40">
        <f>M39/L39</f>
        <v>0.42049185516531018</v>
      </c>
    </row>
    <row r="41" spans="2:19">
      <c r="K41" t="s">
        <v>52</v>
      </c>
      <c r="N41">
        <f>N39/L39</f>
        <v>5.3287950298880112E-3</v>
      </c>
    </row>
    <row r="42" spans="2:19">
      <c r="K42" t="s">
        <v>55</v>
      </c>
      <c r="N42">
        <f>S39/L39</f>
        <v>1.1689145675258878E-2</v>
      </c>
    </row>
    <row r="43" spans="2:19">
      <c r="K43" t="s">
        <v>56</v>
      </c>
      <c r="N43">
        <f>N41-N42</f>
        <v>-6.3603506453708668E-3</v>
      </c>
    </row>
  </sheetData>
  <phoneticPr fontId="0" type="noConversion"/>
  <pageMargins left="0.75" right="0.75" top="1" bottom="1" header="0.5" footer="0.5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9" sqref="C9"/>
    </sheetView>
  </sheetViews>
  <sheetFormatPr baseColWidth="10" defaultColWidth="8.83203125" defaultRowHeight="12" x14ac:dyDescent="0"/>
  <sheetData>
    <row r="1" spans="1:5">
      <c r="A1" t="s">
        <v>0</v>
      </c>
      <c r="B1" t="s">
        <v>1</v>
      </c>
      <c r="C1" t="s">
        <v>18</v>
      </c>
      <c r="D1" t="s">
        <v>3</v>
      </c>
      <c r="E1" t="s">
        <v>4</v>
      </c>
    </row>
    <row r="2" spans="1:5" ht="15">
      <c r="A2" s="1">
        <v>200</v>
      </c>
      <c r="B2" s="1">
        <v>0.2</v>
      </c>
      <c r="C2" s="1">
        <v>0.9</v>
      </c>
      <c r="D2" s="1">
        <v>0.8</v>
      </c>
      <c r="E2" s="1">
        <v>1.5</v>
      </c>
    </row>
    <row r="3" spans="1:5" ht="15">
      <c r="A3" s="1">
        <v>100</v>
      </c>
      <c r="B3" s="1">
        <v>0.2</v>
      </c>
      <c r="C3" s="1">
        <v>0.8</v>
      </c>
      <c r="D3" s="1">
        <v>0.82</v>
      </c>
      <c r="E3" s="1">
        <v>1.5</v>
      </c>
    </row>
    <row r="4" spans="1:5" ht="15">
      <c r="A4" s="1">
        <v>150</v>
      </c>
      <c r="B4" s="1">
        <v>0.4</v>
      </c>
      <c r="C4" s="1">
        <v>0.85</v>
      </c>
      <c r="D4" s="1">
        <v>0.88</v>
      </c>
      <c r="E4" s="1">
        <v>1</v>
      </c>
    </row>
    <row r="5" spans="1:5" ht="15">
      <c r="A5" s="1">
        <v>80</v>
      </c>
      <c r="B5" s="1">
        <v>0.4</v>
      </c>
      <c r="C5" s="1">
        <v>0.85</v>
      </c>
      <c r="D5" s="1">
        <v>0.9</v>
      </c>
      <c r="E5" s="1">
        <v>1.2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baseColWidth="10" defaultColWidth="8.83203125" defaultRowHeight="12" x14ac:dyDescent="0"/>
  <sheetData>
    <row r="1" spans="1:11">
      <c r="B1" t="s">
        <v>57</v>
      </c>
    </row>
    <row r="2" spans="1:11">
      <c r="B2" t="s">
        <v>58</v>
      </c>
      <c r="E2" t="s">
        <v>73</v>
      </c>
    </row>
    <row r="3" spans="1:11">
      <c r="C3" t="s">
        <v>65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  <c r="K3" t="s">
        <v>74</v>
      </c>
    </row>
    <row r="4" spans="1:11">
      <c r="A4" t="s">
        <v>68</v>
      </c>
      <c r="B4" t="s">
        <v>69</v>
      </c>
      <c r="C4">
        <v>0.28689999999999999</v>
      </c>
      <c r="D4">
        <v>4.9599999999999998E-2</v>
      </c>
      <c r="E4">
        <v>5.8500000000000003E-2</v>
      </c>
      <c r="F4">
        <v>0.19</v>
      </c>
      <c r="G4">
        <v>0.38400000000000001</v>
      </c>
      <c r="H4">
        <v>0.17199999999999999</v>
      </c>
      <c r="I4">
        <v>0.40100000000000002</v>
      </c>
      <c r="K4" t="s">
        <v>75</v>
      </c>
    </row>
    <row r="5" spans="1:11">
      <c r="B5" t="s">
        <v>70</v>
      </c>
      <c r="C5">
        <v>0.315</v>
      </c>
      <c r="D5">
        <v>0.10100000000000001</v>
      </c>
      <c r="E5">
        <v>0.05</v>
      </c>
      <c r="F5">
        <v>0.20100000000000001</v>
      </c>
      <c r="G5">
        <v>0.42899999999999999</v>
      </c>
      <c r="H5">
        <v>0.217</v>
      </c>
      <c r="I5">
        <v>0.41299999999999998</v>
      </c>
    </row>
    <row r="7" spans="1:11">
      <c r="A7" t="s">
        <v>67</v>
      </c>
      <c r="B7" t="s">
        <v>3</v>
      </c>
      <c r="C7" t="s">
        <v>65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64</v>
      </c>
    </row>
    <row r="8" spans="1:11">
      <c r="A8" t="s">
        <v>66</v>
      </c>
      <c r="B8">
        <v>1</v>
      </c>
      <c r="C8">
        <v>0.30020000000000002</v>
      </c>
      <c r="D8">
        <v>5.0599999999999999E-2</v>
      </c>
      <c r="E8">
        <v>6.1699999999999998E-2</v>
      </c>
      <c r="F8">
        <f>C8-1.96*D8</f>
        <v>0.20102400000000004</v>
      </c>
      <c r="G8">
        <f>C8+1.96*D8</f>
        <v>0.39937600000000001</v>
      </c>
      <c r="H8">
        <f>C8-1.96*SQRT(D8^2+E8^2)</f>
        <v>0.14380170205529733</v>
      </c>
      <c r="I8">
        <f>C8+1.96*SQRT(E8^2+D8^2)</f>
        <v>0.45659829794470275</v>
      </c>
    </row>
    <row r="9" spans="1:11">
      <c r="A9" t="s">
        <v>3</v>
      </c>
      <c r="B9">
        <v>0.85</v>
      </c>
      <c r="C9">
        <f>C8/SQRT(B9)</f>
        <v>0.32561261718580292</v>
      </c>
      <c r="D9">
        <f>D8/SQRT(B9)</f>
        <v>5.4883405828120006E-2</v>
      </c>
      <c r="E9">
        <v>0</v>
      </c>
      <c r="F9">
        <f>C9-1.96*D9</f>
        <v>0.21804114176268771</v>
      </c>
      <c r="G9">
        <f>C9+1.96*D9</f>
        <v>0.4331840926089181</v>
      </c>
      <c r="H9">
        <f>C9-1.96*SQRT(D9^2+E9^2)</f>
        <v>0.21804114176268771</v>
      </c>
      <c r="I9">
        <f>C9+1.96*SQRT(E9^2+D9^2)</f>
        <v>0.4331840926089181</v>
      </c>
    </row>
    <row r="11" spans="1:11">
      <c r="H11" t="s">
        <v>76</v>
      </c>
    </row>
    <row r="12" spans="1:11">
      <c r="H12" t="s">
        <v>77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Michael T. Brannick</dc:creator>
  <cp:lastModifiedBy>Michael Brannick</cp:lastModifiedBy>
  <dcterms:created xsi:type="dcterms:W3CDTF">2005-10-08T17:11:44Z</dcterms:created>
  <dcterms:modified xsi:type="dcterms:W3CDTF">2015-06-09T18:28:31Z</dcterms:modified>
</cp:coreProperties>
</file>